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8\"/>
    </mc:Choice>
  </mc:AlternateContent>
  <bookViews>
    <workbookView xWindow="0" yWindow="180" windowWidth="15510" windowHeight="7455"/>
  </bookViews>
  <sheets>
    <sheet name="實作練習 (419頁)" sheetId="1" r:id="rId1"/>
  </sheets>
  <definedNames>
    <definedName name="一次領退休金">'實作練習 (419頁)'!$B$5</definedName>
    <definedName name="年金">'實作練習 (419頁)'!$B$6</definedName>
    <definedName name="每年投入金額">'實作練習 (419頁)'!$B$14</definedName>
    <definedName name="退休年齡">'實作練習 (419頁)'!$B$2</definedName>
    <definedName name="退休前投資報酬率">'實作練習 (419頁)'!$B$12</definedName>
    <definedName name="退休後投資報酬率">'實作練習 (419頁)'!$B$3</definedName>
    <definedName name="退休準備金">'實作練習 (419頁)'!$B$7</definedName>
    <definedName name="現在年齡">'實作練習 (419頁)'!$B$11</definedName>
    <definedName name="現有退休準備金">'實作練習 (419頁)'!$B$13</definedName>
    <definedName name="通貨膨脹率">'實作練習 (419頁)'!$B$4</definedName>
    <definedName name="通膨調整比例">'實作練習 (419頁)'!$E$12</definedName>
    <definedName name="通膨調整年數">'實作練習 (419頁)'!$E$11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 l="1"/>
  <c r="D18" i="1" l="1"/>
  <c r="L18" i="1" l="1"/>
  <c r="G19" i="1"/>
  <c r="I19" i="1" s="1"/>
  <c r="A18" i="1"/>
  <c r="A19" i="1" l="1"/>
  <c r="D19" i="1" s="1"/>
  <c r="G20" i="1"/>
  <c r="J20" i="1"/>
  <c r="J19" i="1"/>
  <c r="K19" i="1" s="1"/>
  <c r="E4" i="1"/>
  <c r="E5" i="1" s="1"/>
  <c r="A20" i="1" l="1"/>
  <c r="D20" i="1" s="1"/>
  <c r="G21" i="1"/>
  <c r="I20" i="1"/>
  <c r="A21" i="1"/>
  <c r="D21" i="1" s="1"/>
  <c r="D3" i="1"/>
  <c r="I21" i="1" l="1"/>
  <c r="J21" i="1"/>
  <c r="G22" i="1"/>
  <c r="B18" i="1"/>
  <c r="C18" i="1" s="1"/>
  <c r="E18" i="1" s="1"/>
  <c r="B19" i="1"/>
  <c r="C19" i="1" s="1"/>
  <c r="E19" i="1" s="1"/>
  <c r="B20" i="1"/>
  <c r="C20" i="1" s="1"/>
  <c r="E20" i="1" s="1"/>
  <c r="B21" i="1"/>
  <c r="C21" i="1" s="1"/>
  <c r="E21" i="1" s="1"/>
  <c r="A22" i="1"/>
  <c r="D22" i="1" s="1"/>
  <c r="I22" i="1" l="1"/>
  <c r="J22" i="1"/>
  <c r="G23" i="1"/>
  <c r="A23" i="1"/>
  <c r="D23" i="1" s="1"/>
  <c r="B22" i="1"/>
  <c r="C22" i="1" s="1"/>
  <c r="I23" i="1" l="1"/>
  <c r="G24" i="1"/>
  <c r="J23" i="1"/>
  <c r="E22" i="1"/>
  <c r="A24" i="1"/>
  <c r="D24" i="1" s="1"/>
  <c r="B23" i="1"/>
  <c r="C23" i="1" s="1"/>
  <c r="I24" i="1" l="1"/>
  <c r="J24" i="1"/>
  <c r="G25" i="1"/>
  <c r="E23" i="1"/>
  <c r="A25" i="1"/>
  <c r="D25" i="1" s="1"/>
  <c r="B24" i="1"/>
  <c r="C24" i="1" s="1"/>
  <c r="E24" i="1" s="1"/>
  <c r="I25" i="1" l="1"/>
  <c r="J25" i="1"/>
  <c r="G26" i="1"/>
  <c r="B25" i="1"/>
  <c r="C25" i="1" s="1"/>
  <c r="E25" i="1" s="1"/>
  <c r="A26" i="1"/>
  <c r="D26" i="1" s="1"/>
  <c r="I26" i="1" l="1"/>
  <c r="G27" i="1"/>
  <c r="J26" i="1"/>
  <c r="A27" i="1"/>
  <c r="D27" i="1" s="1"/>
  <c r="B26" i="1"/>
  <c r="C26" i="1" s="1"/>
  <c r="E26" i="1" s="1"/>
  <c r="I27" i="1" l="1"/>
  <c r="J27" i="1"/>
  <c r="G28" i="1"/>
  <c r="B27" i="1"/>
  <c r="C27" i="1" s="1"/>
  <c r="E27" i="1" s="1"/>
  <c r="A28" i="1"/>
  <c r="D28" i="1" s="1"/>
  <c r="I28" i="1" l="1"/>
  <c r="J28" i="1"/>
  <c r="G29" i="1"/>
  <c r="B28" i="1"/>
  <c r="C28" i="1" s="1"/>
  <c r="A29" i="1"/>
  <c r="D29" i="1" s="1"/>
  <c r="I29" i="1" l="1"/>
  <c r="J29" i="1"/>
  <c r="G30" i="1"/>
  <c r="B29" i="1"/>
  <c r="C29" i="1" s="1"/>
  <c r="E29" i="1" s="1"/>
  <c r="A30" i="1"/>
  <c r="D30" i="1" s="1"/>
  <c r="E28" i="1"/>
  <c r="I30" i="1" l="1"/>
  <c r="J30" i="1"/>
  <c r="G31" i="1"/>
  <c r="A31" i="1"/>
  <c r="D31" i="1" s="1"/>
  <c r="B30" i="1"/>
  <c r="C30" i="1" s="1"/>
  <c r="E30" i="1" s="1"/>
  <c r="I31" i="1" l="1"/>
  <c r="G32" i="1"/>
  <c r="J31" i="1"/>
  <c r="B31" i="1"/>
  <c r="C31" i="1" s="1"/>
  <c r="E31" i="1" s="1"/>
  <c r="A32" i="1"/>
  <c r="D32" i="1" s="1"/>
  <c r="I32" i="1" l="1"/>
  <c r="J32" i="1"/>
  <c r="G33" i="1"/>
  <c r="A33" i="1"/>
  <c r="D33" i="1" s="1"/>
  <c r="B32" i="1"/>
  <c r="C32" i="1" s="1"/>
  <c r="E32" i="1" s="1"/>
  <c r="I33" i="1" l="1"/>
  <c r="G34" i="1"/>
  <c r="J33" i="1"/>
  <c r="B33" i="1"/>
  <c r="C33" i="1" s="1"/>
  <c r="E33" i="1" s="1"/>
  <c r="A34" i="1"/>
  <c r="D34" i="1" s="1"/>
  <c r="I34" i="1" l="1"/>
  <c r="J34" i="1"/>
  <c r="G35" i="1"/>
  <c r="A35" i="1"/>
  <c r="D35" i="1" s="1"/>
  <c r="B34" i="1"/>
  <c r="C34" i="1" s="1"/>
  <c r="I35" i="1" l="1"/>
  <c r="J35" i="1"/>
  <c r="G36" i="1"/>
  <c r="E34" i="1"/>
  <c r="A36" i="1"/>
  <c r="D36" i="1" s="1"/>
  <c r="B35" i="1"/>
  <c r="C35" i="1" s="1"/>
  <c r="E35" i="1" s="1"/>
  <c r="I36" i="1" l="1"/>
  <c r="J36" i="1"/>
  <c r="G37" i="1"/>
  <c r="B36" i="1"/>
  <c r="C36" i="1" s="1"/>
  <c r="E36" i="1" s="1"/>
  <c r="A37" i="1"/>
  <c r="D37" i="1" s="1"/>
  <c r="I37" i="1" l="1"/>
  <c r="G38" i="1"/>
  <c r="J37" i="1"/>
  <c r="A38" i="1"/>
  <c r="D38" i="1" s="1"/>
  <c r="B37" i="1"/>
  <c r="C37" i="1" s="1"/>
  <c r="E37" i="1" s="1"/>
  <c r="I38" i="1" l="1"/>
  <c r="J38" i="1"/>
  <c r="G39" i="1"/>
  <c r="A39" i="1"/>
  <c r="D39" i="1" s="1"/>
  <c r="B38" i="1"/>
  <c r="C38" i="1" s="1"/>
  <c r="I39" i="1" l="1"/>
  <c r="G40" i="1"/>
  <c r="J39" i="1"/>
  <c r="E38" i="1"/>
  <c r="A40" i="1"/>
  <c r="D40" i="1" s="1"/>
  <c r="B39" i="1"/>
  <c r="C39" i="1" s="1"/>
  <c r="E39" i="1" s="1"/>
  <c r="I40" i="1" l="1"/>
  <c r="J40" i="1"/>
  <c r="G41" i="1"/>
  <c r="A41" i="1"/>
  <c r="D41" i="1" s="1"/>
  <c r="B40" i="1"/>
  <c r="C40" i="1" s="1"/>
  <c r="E40" i="1" s="1"/>
  <c r="I41" i="1" l="1"/>
  <c r="J41" i="1"/>
  <c r="G42" i="1"/>
  <c r="B41" i="1"/>
  <c r="C41" i="1" s="1"/>
  <c r="E41" i="1" s="1"/>
  <c r="A42" i="1"/>
  <c r="D42" i="1" s="1"/>
  <c r="I42" i="1" l="1"/>
  <c r="J42" i="1"/>
  <c r="G43" i="1"/>
  <c r="B42" i="1"/>
  <c r="C42" i="1" s="1"/>
  <c r="E42" i="1" s="1"/>
  <c r="A43" i="1"/>
  <c r="D43" i="1" s="1"/>
  <c r="I43" i="1" l="1"/>
  <c r="J43" i="1"/>
  <c r="G44" i="1"/>
  <c r="A44" i="1"/>
  <c r="D44" i="1" s="1"/>
  <c r="B43" i="1"/>
  <c r="C43" i="1" s="1"/>
  <c r="E43" i="1" s="1"/>
  <c r="I44" i="1" l="1"/>
  <c r="J44" i="1"/>
  <c r="G45" i="1"/>
  <c r="A45" i="1"/>
  <c r="D45" i="1" s="1"/>
  <c r="B44" i="1"/>
  <c r="C44" i="1" s="1"/>
  <c r="I45" i="1" l="1"/>
  <c r="J45" i="1"/>
  <c r="G46" i="1"/>
  <c r="E44" i="1"/>
  <c r="A46" i="1"/>
  <c r="D46" i="1" s="1"/>
  <c r="B45" i="1"/>
  <c r="C45" i="1" s="1"/>
  <c r="E45" i="1" s="1"/>
  <c r="I46" i="1" l="1"/>
  <c r="J46" i="1"/>
  <c r="G47" i="1"/>
  <c r="B46" i="1"/>
  <c r="C46" i="1" s="1"/>
  <c r="A47" i="1"/>
  <c r="D47" i="1" s="1"/>
  <c r="I47" i="1" l="1"/>
  <c r="G48" i="1"/>
  <c r="J47" i="1"/>
  <c r="E46" i="1"/>
  <c r="B47" i="1"/>
  <c r="C47" i="1" s="1"/>
  <c r="A48" i="1"/>
  <c r="D48" i="1" s="1"/>
  <c r="I48" i="1" l="1"/>
  <c r="J48" i="1"/>
  <c r="G49" i="1"/>
  <c r="B48" i="1"/>
  <c r="C48" i="1" s="1"/>
  <c r="E48" i="1" s="1"/>
  <c r="A49" i="1"/>
  <c r="D49" i="1" s="1"/>
  <c r="E47" i="1"/>
  <c r="I49" i="1" l="1"/>
  <c r="G50" i="1"/>
  <c r="J49" i="1"/>
  <c r="A50" i="1"/>
  <c r="D50" i="1" s="1"/>
  <c r="B49" i="1"/>
  <c r="C49" i="1" s="1"/>
  <c r="E49" i="1" s="1"/>
  <c r="I50" i="1" l="1"/>
  <c r="J50" i="1"/>
  <c r="G51" i="1"/>
  <c r="B50" i="1"/>
  <c r="C50" i="1" s="1"/>
  <c r="A51" i="1"/>
  <c r="D51" i="1" s="1"/>
  <c r="I51" i="1" l="1"/>
  <c r="J51" i="1"/>
  <c r="G52" i="1"/>
  <c r="E50" i="1"/>
  <c r="B51" i="1"/>
  <c r="C51" i="1" s="1"/>
  <c r="E51" i="1" s="1"/>
  <c r="A52" i="1"/>
  <c r="D52" i="1" s="1"/>
  <c r="I52" i="1" l="1"/>
  <c r="J52" i="1"/>
  <c r="G53" i="1"/>
  <c r="B52" i="1"/>
  <c r="C52" i="1" s="1"/>
  <c r="A53" i="1"/>
  <c r="D53" i="1" s="1"/>
  <c r="I53" i="1" l="1"/>
  <c r="J53" i="1"/>
  <c r="G54" i="1"/>
  <c r="E52" i="1"/>
  <c r="B53" i="1"/>
  <c r="C53" i="1" s="1"/>
  <c r="E53" i="1" s="1"/>
  <c r="A54" i="1"/>
  <c r="D54" i="1" s="1"/>
  <c r="I54" i="1" l="1"/>
  <c r="J54" i="1"/>
  <c r="H54" i="1"/>
  <c r="G55" i="1"/>
  <c r="A55" i="1"/>
  <c r="D55" i="1" s="1"/>
  <c r="B54" i="1"/>
  <c r="C54" i="1" s="1"/>
  <c r="E54" i="1" s="1"/>
  <c r="I55" i="1" l="1"/>
  <c r="J55" i="1"/>
  <c r="H55" i="1"/>
  <c r="G56" i="1"/>
  <c r="A56" i="1"/>
  <c r="D56" i="1" s="1"/>
  <c r="B55" i="1"/>
  <c r="C55" i="1" s="1"/>
  <c r="E55" i="1" s="1"/>
  <c r="I56" i="1" l="1"/>
  <c r="H56" i="1"/>
  <c r="G57" i="1"/>
  <c r="J56" i="1"/>
  <c r="A57" i="1"/>
  <c r="D57" i="1" s="1"/>
  <c r="B56" i="1"/>
  <c r="C56" i="1" s="1"/>
  <c r="E56" i="1" s="1"/>
  <c r="I57" i="1" l="1"/>
  <c r="G58" i="1"/>
  <c r="J57" i="1"/>
  <c r="H57" i="1"/>
  <c r="B57" i="1"/>
  <c r="C57" i="1" s="1"/>
  <c r="A58" i="1"/>
  <c r="D58" i="1" s="1"/>
  <c r="I58" i="1" l="1"/>
  <c r="G59" i="1"/>
  <c r="H58" i="1"/>
  <c r="J58" i="1"/>
  <c r="E57" i="1"/>
  <c r="A59" i="1"/>
  <c r="D59" i="1" s="1"/>
  <c r="B58" i="1"/>
  <c r="C58" i="1" s="1"/>
  <c r="E58" i="1" s="1"/>
  <c r="I59" i="1" l="1"/>
  <c r="G60" i="1"/>
  <c r="J59" i="1"/>
  <c r="H59" i="1"/>
  <c r="E59" i="1"/>
  <c r="A60" i="1"/>
  <c r="D60" i="1" s="1"/>
  <c r="C59" i="1"/>
  <c r="B59" i="1"/>
  <c r="I60" i="1" l="1"/>
  <c r="J60" i="1"/>
  <c r="G61" i="1"/>
  <c r="H60" i="1"/>
  <c r="C60" i="1"/>
  <c r="E60" i="1"/>
  <c r="B60" i="1"/>
  <c r="A61" i="1"/>
  <c r="D61" i="1" s="1"/>
  <c r="I61" i="1" l="1"/>
  <c r="H61" i="1"/>
  <c r="J61" i="1"/>
  <c r="G62" i="1"/>
  <c r="B61" i="1"/>
  <c r="A62" i="1"/>
  <c r="D62" i="1" s="1"/>
  <c r="C61" i="1"/>
  <c r="E61" i="1"/>
  <c r="I62" i="1" l="1"/>
  <c r="J62" i="1"/>
  <c r="H62" i="1"/>
  <c r="G63" i="1"/>
  <c r="A63" i="1"/>
  <c r="D63" i="1" s="1"/>
  <c r="E62" i="1"/>
  <c r="B62" i="1"/>
  <c r="C62" i="1"/>
  <c r="I63" i="1" l="1"/>
  <c r="H63" i="1"/>
  <c r="G64" i="1"/>
  <c r="J63" i="1"/>
  <c r="B63" i="1"/>
  <c r="E63" i="1"/>
  <c r="A64" i="1"/>
  <c r="D64" i="1" s="1"/>
  <c r="C63" i="1"/>
  <c r="I64" i="1" l="1"/>
  <c r="J64" i="1"/>
  <c r="H64" i="1"/>
  <c r="G65" i="1"/>
  <c r="E64" i="1"/>
  <c r="A65" i="1"/>
  <c r="D65" i="1" s="1"/>
  <c r="B64" i="1"/>
  <c r="C64" i="1"/>
  <c r="I65" i="1" l="1"/>
  <c r="H65" i="1"/>
  <c r="J65" i="1"/>
  <c r="G66" i="1"/>
  <c r="C65" i="1"/>
  <c r="B65" i="1"/>
  <c r="E65" i="1"/>
  <c r="A66" i="1"/>
  <c r="D66" i="1" s="1"/>
  <c r="I66" i="1" l="1"/>
  <c r="J66" i="1"/>
  <c r="G67" i="1"/>
  <c r="H66" i="1"/>
  <c r="B66" i="1"/>
  <c r="E66" i="1"/>
  <c r="C66" i="1"/>
  <c r="A67" i="1"/>
  <c r="D67" i="1" s="1"/>
  <c r="I67" i="1" l="1"/>
  <c r="H67" i="1"/>
  <c r="G68" i="1"/>
  <c r="J67" i="1"/>
  <c r="C67" i="1"/>
  <c r="A68" i="1"/>
  <c r="D68" i="1" s="1"/>
  <c r="E67" i="1"/>
  <c r="B67" i="1"/>
  <c r="I68" i="1" l="1"/>
  <c r="G69" i="1"/>
  <c r="H68" i="1"/>
  <c r="J68" i="1"/>
  <c r="B68" i="1"/>
  <c r="C68" i="1"/>
  <c r="A69" i="1"/>
  <c r="D69" i="1" s="1"/>
  <c r="E68" i="1"/>
  <c r="I69" i="1" l="1"/>
  <c r="H69" i="1"/>
  <c r="G70" i="1"/>
  <c r="J69" i="1"/>
  <c r="B69" i="1"/>
  <c r="C69" i="1"/>
  <c r="E69" i="1"/>
  <c r="A70" i="1"/>
  <c r="D70" i="1" s="1"/>
  <c r="I70" i="1" l="1"/>
  <c r="J70" i="1"/>
  <c r="H70" i="1"/>
  <c r="G71" i="1"/>
  <c r="C70" i="1"/>
  <c r="A71" i="1"/>
  <c r="D71" i="1" s="1"/>
  <c r="E70" i="1"/>
  <c r="B70" i="1"/>
  <c r="I71" i="1" l="1"/>
  <c r="H71" i="1"/>
  <c r="G72" i="1"/>
  <c r="J71" i="1"/>
  <c r="C71" i="1"/>
  <c r="E71" i="1"/>
  <c r="B71" i="1"/>
  <c r="A72" i="1"/>
  <c r="D72" i="1" s="1"/>
  <c r="I72" i="1" l="1"/>
  <c r="J72" i="1"/>
  <c r="H72" i="1"/>
  <c r="G73" i="1"/>
  <c r="E72" i="1"/>
  <c r="C72" i="1"/>
  <c r="B72" i="1"/>
  <c r="A73" i="1"/>
  <c r="D73" i="1" s="1"/>
  <c r="I73" i="1" l="1"/>
  <c r="H73" i="1"/>
  <c r="J73" i="1"/>
  <c r="G74" i="1"/>
  <c r="C73" i="1"/>
  <c r="E73" i="1"/>
  <c r="B73" i="1"/>
  <c r="A74" i="1"/>
  <c r="D74" i="1" s="1"/>
  <c r="I74" i="1" l="1"/>
  <c r="J74" i="1"/>
  <c r="G75" i="1"/>
  <c r="H74" i="1"/>
  <c r="E74" i="1"/>
  <c r="A75" i="1"/>
  <c r="D75" i="1" s="1"/>
  <c r="B74" i="1"/>
  <c r="C74" i="1"/>
  <c r="I75" i="1" l="1"/>
  <c r="J75" i="1"/>
  <c r="H75" i="1"/>
  <c r="G76" i="1"/>
  <c r="E75" i="1"/>
  <c r="A76" i="1"/>
  <c r="D76" i="1" s="1"/>
  <c r="B75" i="1"/>
  <c r="C75" i="1"/>
  <c r="I76" i="1" l="1"/>
  <c r="J76" i="1"/>
  <c r="G77" i="1"/>
  <c r="H76" i="1"/>
  <c r="A77" i="1"/>
  <c r="D77" i="1" s="1"/>
  <c r="B76" i="1"/>
  <c r="C76" i="1"/>
  <c r="E76" i="1"/>
  <c r="I77" i="1" l="1"/>
  <c r="G78" i="1"/>
  <c r="J77" i="1"/>
  <c r="H77" i="1"/>
  <c r="B77" i="1"/>
  <c r="E77" i="1"/>
  <c r="A78" i="1"/>
  <c r="D78" i="1" s="1"/>
  <c r="C77" i="1"/>
  <c r="I78" i="1" l="1"/>
  <c r="J78" i="1"/>
  <c r="G79" i="1"/>
  <c r="H78" i="1"/>
  <c r="A79" i="1"/>
  <c r="D79" i="1" s="1"/>
  <c r="C78" i="1"/>
  <c r="E78" i="1"/>
  <c r="B78" i="1"/>
  <c r="I79" i="1" l="1"/>
  <c r="G80" i="1"/>
  <c r="H79" i="1"/>
  <c r="J79" i="1"/>
  <c r="A80" i="1"/>
  <c r="D80" i="1" s="1"/>
  <c r="E79" i="1"/>
  <c r="B79" i="1"/>
  <c r="C79" i="1"/>
  <c r="I80" i="1" l="1"/>
  <c r="G81" i="1"/>
  <c r="J80" i="1"/>
  <c r="H80" i="1"/>
  <c r="B80" i="1"/>
  <c r="C80" i="1"/>
  <c r="E80" i="1"/>
  <c r="A81" i="1"/>
  <c r="D81" i="1" s="1"/>
  <c r="I81" i="1" l="1"/>
  <c r="H81" i="1"/>
  <c r="J81" i="1"/>
  <c r="G82" i="1"/>
  <c r="C81" i="1"/>
  <c r="B81" i="1"/>
  <c r="E81" i="1"/>
  <c r="A82" i="1"/>
  <c r="D82" i="1" s="1"/>
  <c r="I82" i="1" l="1"/>
  <c r="G83" i="1"/>
  <c r="J82" i="1"/>
  <c r="H82" i="1"/>
  <c r="A83" i="1"/>
  <c r="D83" i="1" s="1"/>
  <c r="C82" i="1"/>
  <c r="E82" i="1"/>
  <c r="B82" i="1"/>
  <c r="I83" i="1" l="1"/>
  <c r="J83" i="1"/>
  <c r="G84" i="1"/>
  <c r="H83" i="1"/>
  <c r="B83" i="1"/>
  <c r="C83" i="1"/>
  <c r="A84" i="1"/>
  <c r="D84" i="1" s="1"/>
  <c r="E83" i="1"/>
  <c r="I84" i="1" l="1"/>
  <c r="J84" i="1"/>
  <c r="H84" i="1"/>
  <c r="G85" i="1"/>
  <c r="B84" i="1"/>
  <c r="C84" i="1"/>
  <c r="A85" i="1"/>
  <c r="D85" i="1" s="1"/>
  <c r="E84" i="1"/>
  <c r="I85" i="1" l="1"/>
  <c r="J85" i="1"/>
  <c r="G86" i="1"/>
  <c r="H85" i="1"/>
  <c r="C85" i="1"/>
  <c r="B85" i="1"/>
  <c r="A86" i="1"/>
  <c r="D86" i="1" s="1"/>
  <c r="E85" i="1"/>
  <c r="I86" i="1" l="1"/>
  <c r="J86" i="1"/>
  <c r="G87" i="1"/>
  <c r="H86" i="1"/>
  <c r="B86" i="1"/>
  <c r="C86" i="1"/>
  <c r="A87" i="1"/>
  <c r="D87" i="1" s="1"/>
  <c r="E86" i="1"/>
  <c r="I87" i="1" l="1"/>
  <c r="G88" i="1"/>
  <c r="H87" i="1"/>
  <c r="J87" i="1"/>
  <c r="C87" i="1"/>
  <c r="A88" i="1"/>
  <c r="D88" i="1" s="1"/>
  <c r="E87" i="1"/>
  <c r="B87" i="1"/>
  <c r="I88" i="1" l="1"/>
  <c r="J88" i="1"/>
  <c r="G89" i="1"/>
  <c r="H88" i="1"/>
  <c r="C88" i="1"/>
  <c r="E88" i="1"/>
  <c r="B7" i="1" s="1"/>
  <c r="B14" i="1" s="1"/>
  <c r="B88" i="1"/>
  <c r="I89" i="1" l="1"/>
  <c r="H89" i="1"/>
  <c r="J89" i="1"/>
  <c r="G90" i="1"/>
  <c r="H21" i="1"/>
  <c r="H19" i="1"/>
  <c r="L19" i="1" s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I90" i="1" l="1"/>
  <c r="H90" i="1"/>
  <c r="G91" i="1"/>
  <c r="J90" i="1"/>
  <c r="K20" i="1"/>
  <c r="L20" i="1" s="1"/>
  <c r="K21" i="1" s="1"/>
  <c r="L21" i="1" s="1"/>
  <c r="K22" i="1" s="1"/>
  <c r="L22" i="1" s="1"/>
  <c r="I91" i="1" l="1"/>
  <c r="J91" i="1"/>
  <c r="H91" i="1"/>
  <c r="G92" i="1"/>
  <c r="K23" i="1"/>
  <c r="L23" i="1" s="1"/>
  <c r="I92" i="1" l="1"/>
  <c r="H92" i="1"/>
  <c r="G93" i="1"/>
  <c r="J92" i="1"/>
  <c r="K24" i="1"/>
  <c r="L24" i="1" s="1"/>
  <c r="I93" i="1" l="1"/>
  <c r="G94" i="1"/>
  <c r="H93" i="1"/>
  <c r="J93" i="1"/>
  <c r="K25" i="1"/>
  <c r="L25" i="1" s="1"/>
  <c r="I94" i="1" l="1"/>
  <c r="K94" i="1"/>
  <c r="J94" i="1"/>
  <c r="L94" i="1"/>
  <c r="H94" i="1"/>
  <c r="G95" i="1"/>
  <c r="K26" i="1"/>
  <c r="L26" i="1" s="1"/>
  <c r="K27" i="1" s="1"/>
  <c r="L27" i="1" s="1"/>
  <c r="I95" i="1" l="1"/>
  <c r="G96" i="1"/>
  <c r="J95" i="1"/>
  <c r="L95" i="1"/>
  <c r="K95" i="1"/>
  <c r="H95" i="1"/>
  <c r="K28" i="1"/>
  <c r="L28" i="1" s="1"/>
  <c r="I96" i="1" l="1"/>
  <c r="J96" i="1"/>
  <c r="L96" i="1"/>
  <c r="K96" i="1"/>
  <c r="G97" i="1"/>
  <c r="H96" i="1"/>
  <c r="K29" i="1"/>
  <c r="L29" i="1" s="1"/>
  <c r="I97" i="1" l="1"/>
  <c r="J97" i="1"/>
  <c r="K97" i="1"/>
  <c r="L97" i="1"/>
  <c r="G98" i="1"/>
  <c r="H97" i="1"/>
  <c r="K30" i="1"/>
  <c r="L30" i="1" s="1"/>
  <c r="I98" i="1" l="1"/>
  <c r="H98" i="1"/>
  <c r="L98" i="1"/>
  <c r="K98" i="1"/>
  <c r="J98" i="1"/>
  <c r="K31" i="1"/>
  <c r="L31" i="1" s="1"/>
  <c r="K32" i="1" s="1"/>
  <c r="L32" i="1" s="1"/>
  <c r="K33" i="1" l="1"/>
  <c r="L33" i="1" s="1"/>
  <c r="K34" i="1" l="1"/>
  <c r="L34" i="1" s="1"/>
  <c r="K35" i="1" s="1"/>
  <c r="L35" i="1" s="1"/>
  <c r="K36" i="1" s="1"/>
  <c r="L36" i="1" s="1"/>
  <c r="K37" i="1" l="1"/>
  <c r="L37" i="1" s="1"/>
  <c r="K38" i="1" l="1"/>
  <c r="L38" i="1" s="1"/>
  <c r="K39" i="1" l="1"/>
  <c r="L39" i="1" s="1"/>
  <c r="K40" i="1" l="1"/>
  <c r="L40" i="1" s="1"/>
  <c r="K41" i="1" l="1"/>
  <c r="L41" i="1" s="1"/>
  <c r="K42" i="1" s="1"/>
  <c r="L42" i="1" s="1"/>
  <c r="K43" i="1" l="1"/>
  <c r="L43" i="1" s="1"/>
  <c r="K44" i="1" l="1"/>
  <c r="L44" i="1" s="1"/>
  <c r="K45" i="1" l="1"/>
  <c r="L45" i="1" s="1"/>
  <c r="K46" i="1" s="1"/>
  <c r="L46" i="1" s="1"/>
  <c r="K47" i="1" l="1"/>
  <c r="L47" i="1" s="1"/>
  <c r="K48" i="1" l="1"/>
  <c r="L48" i="1" s="1"/>
  <c r="K49" i="1" s="1"/>
  <c r="L49" i="1" s="1"/>
  <c r="K50" i="1" s="1"/>
  <c r="L50" i="1" s="1"/>
  <c r="K51" i="1" l="1"/>
  <c r="L51" i="1" s="1"/>
  <c r="K52" i="1" l="1"/>
  <c r="L52" i="1" s="1"/>
  <c r="K53" i="1" l="1"/>
  <c r="L53" i="1" s="1"/>
  <c r="K54" i="1" s="1"/>
  <c r="L54" i="1" s="1"/>
  <c r="K55" i="1" l="1"/>
  <c r="L55" i="1" s="1"/>
  <c r="K56" i="1" l="1"/>
  <c r="L56" i="1" s="1"/>
  <c r="K57" i="1" l="1"/>
  <c r="L57" i="1" s="1"/>
  <c r="K58" i="1" s="1"/>
  <c r="L58" i="1" s="1"/>
  <c r="K59" i="1" s="1"/>
  <c r="L59" i="1" s="1"/>
  <c r="K60" i="1" l="1"/>
  <c r="L60" i="1" s="1"/>
  <c r="K61" i="1" l="1"/>
  <c r="L61" i="1" s="1"/>
  <c r="K62" i="1" l="1"/>
  <c r="L62" i="1" s="1"/>
  <c r="K63" i="1" l="1"/>
  <c r="L63" i="1" s="1"/>
  <c r="K64" i="1" s="1"/>
  <c r="L64" i="1" s="1"/>
  <c r="K65" i="1" l="1"/>
  <c r="L65" i="1" s="1"/>
  <c r="K66" i="1" s="1"/>
  <c r="L66" i="1" s="1"/>
  <c r="K67" i="1" s="1"/>
  <c r="L67" i="1" s="1"/>
  <c r="K68" i="1" s="1"/>
  <c r="L68" i="1" s="1"/>
  <c r="K69" i="1" l="1"/>
  <c r="L69" i="1" s="1"/>
  <c r="K70" i="1" l="1"/>
  <c r="L70" i="1" s="1"/>
  <c r="K71" i="1" s="1"/>
  <c r="L71" i="1" s="1"/>
  <c r="K72" i="1" l="1"/>
  <c r="L72" i="1" s="1"/>
  <c r="K73" i="1" l="1"/>
  <c r="L73" i="1" s="1"/>
  <c r="K74" i="1" s="1"/>
  <c r="L74" i="1" s="1"/>
  <c r="K75" i="1" s="1"/>
  <c r="L75" i="1" s="1"/>
  <c r="K76" i="1" l="1"/>
  <c r="L76" i="1" s="1"/>
  <c r="K77" i="1" l="1"/>
  <c r="L77" i="1" s="1"/>
  <c r="K78" i="1" s="1"/>
  <c r="L78" i="1" s="1"/>
  <c r="K79" i="1" s="1"/>
  <c r="L79" i="1" s="1"/>
  <c r="K80" i="1" l="1"/>
  <c r="L80" i="1" s="1"/>
  <c r="K81" i="1" l="1"/>
  <c r="L81" i="1" s="1"/>
  <c r="K82" i="1" s="1"/>
  <c r="L82" i="1" s="1"/>
  <c r="K83" i="1" l="1"/>
  <c r="L83" i="1" s="1"/>
  <c r="K84" i="1" l="1"/>
  <c r="L84" i="1" s="1"/>
  <c r="K85" i="1" s="1"/>
  <c r="L85" i="1" s="1"/>
  <c r="K86" i="1" l="1"/>
  <c r="L86" i="1" s="1"/>
  <c r="K87" i="1" s="1"/>
  <c r="L87" i="1" s="1"/>
  <c r="K88" i="1" s="1"/>
  <c r="L88" i="1" s="1"/>
  <c r="K89" i="1" s="1"/>
  <c r="L89" i="1" s="1"/>
  <c r="K90" i="1" l="1"/>
  <c r="L90" i="1" s="1"/>
  <c r="K91" i="1" l="1"/>
  <c r="L91" i="1" s="1"/>
  <c r="K92" i="1" s="1"/>
  <c r="L92" i="1" s="1"/>
  <c r="K93" i="1" s="1"/>
  <c r="L93" i="1" s="1"/>
</calcChain>
</file>

<file path=xl/sharedStrings.xml><?xml version="1.0" encoding="utf-8"?>
<sst xmlns="http://schemas.openxmlformats.org/spreadsheetml/2006/main" count="32" uniqueCount="29">
  <si>
    <t>退休後投資報酬率</t>
    <phoneticPr fontId="4" type="noConversion"/>
  </si>
  <si>
    <t>退休前投資報酬率</t>
    <phoneticPr fontId="4" type="noConversion"/>
  </si>
  <si>
    <t>現在年齡</t>
    <phoneticPr fontId="4" type="noConversion"/>
  </si>
  <si>
    <t>現有退休準備金</t>
    <phoneticPr fontId="4" type="noConversion"/>
  </si>
  <si>
    <t>年齡</t>
    <phoneticPr fontId="4" type="noConversion"/>
  </si>
  <si>
    <t>費用現值</t>
    <phoneticPr fontId="4" type="noConversion"/>
  </si>
  <si>
    <t>通膨調整金額</t>
    <phoneticPr fontId="4" type="noConversion"/>
  </si>
  <si>
    <t>年費用現值</t>
    <phoneticPr fontId="4" type="noConversion"/>
  </si>
  <si>
    <t>退休年齡</t>
    <phoneticPr fontId="4" type="noConversion"/>
  </si>
  <si>
    <t>一次領退休金</t>
    <phoneticPr fontId="4" type="noConversion"/>
  </si>
  <si>
    <t>年金</t>
    <phoneticPr fontId="4" type="noConversion"/>
  </si>
  <si>
    <t>元/月</t>
    <phoneticPr fontId="4" type="noConversion"/>
  </si>
  <si>
    <t>投入金額</t>
    <phoneticPr fontId="4" type="noConversion"/>
  </si>
  <si>
    <t>支出金額</t>
    <phoneticPr fontId="4" type="noConversion"/>
  </si>
  <si>
    <t>收益</t>
    <phoneticPr fontId="4" type="noConversion"/>
  </si>
  <si>
    <t>投資報酬率</t>
    <phoneticPr fontId="4" type="noConversion"/>
  </si>
  <si>
    <t>期初</t>
    <phoneticPr fontId="4" type="noConversion"/>
  </si>
  <si>
    <t>退休前參數</t>
    <phoneticPr fontId="4" type="noConversion"/>
  </si>
  <si>
    <t>退休後參數</t>
    <phoneticPr fontId="4" type="noConversion"/>
  </si>
  <si>
    <t>年度缺額</t>
    <phoneticPr fontId="4" type="noConversion"/>
  </si>
  <si>
    <t>帳戶餘額</t>
    <phoneticPr fontId="4" type="noConversion"/>
  </si>
  <si>
    <t>階梯式費用</t>
    <phoneticPr fontId="4" type="noConversion"/>
  </si>
  <si>
    <t>收支明細表</t>
    <phoneticPr fontId="4" type="noConversion"/>
  </si>
  <si>
    <t>每年投入金額</t>
    <phoneticPr fontId="4" type="noConversion"/>
  </si>
  <si>
    <t>費用需求表</t>
    <phoneticPr fontId="4" type="noConversion"/>
  </si>
  <si>
    <t>通貨膨脹率</t>
    <phoneticPr fontId="4" type="noConversion"/>
  </si>
  <si>
    <t>退休準備金</t>
    <phoneticPr fontId="4" type="noConversion"/>
  </si>
  <si>
    <t>通膨調整年數</t>
    <phoneticPr fontId="4" type="noConversion"/>
  </si>
  <si>
    <t>通膨調整比例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</si>
</sst>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3" formatCode="_-* #,##0.00_-;\-* #,##0.00_-;_-* &quot;-&quot;??_-;_-@_-"/>
    <numFmt numFmtId="176" formatCode="_-* #,##0_-;\-* #,##0_-;_-* &quot;-&quot;??_-;_-@_-"/>
    <numFmt numFmtId="177" formatCode="#,##0_ ;[Red]\-#,##0\ "/>
    <numFmt numFmtId="178" formatCode="0.0%"/>
    <numFmt numFmtId="180" formatCode="0.0000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8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78" fontId="5" fillId="0" borderId="0" xfId="2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0" fontId="5" fillId="0" borderId="0" xfId="2" applyNumberFormat="1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10" fontId="5" fillId="2" borderId="1" xfId="0" applyNumberFormat="1" applyFont="1" applyFill="1" applyBorder="1">
      <alignment vertical="center"/>
    </xf>
    <xf numFmtId="176" fontId="5" fillId="2" borderId="1" xfId="1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177" fontId="5" fillId="3" borderId="1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3" borderId="1" xfId="0" applyFont="1" applyFill="1" applyBorder="1">
      <alignment vertical="center"/>
    </xf>
    <xf numFmtId="0" fontId="2" fillId="0" borderId="0" xfId="0" applyFont="1">
      <alignment vertical="center"/>
    </xf>
    <xf numFmtId="180" fontId="5" fillId="0" borderId="0" xfId="0" applyNumberFormat="1" applyFont="1">
      <alignment vertical="center"/>
    </xf>
    <xf numFmtId="1" fontId="1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19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1827981395875953"/>
          <c:y val="0.13330447005192786"/>
          <c:w val="0.85923129526352082"/>
          <c:h val="0.68890032013693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'實作練習 (419頁)'!$L$17</c:f>
              <c:strCache>
                <c:ptCount val="1"/>
                <c:pt idx="0">
                  <c:v>帳戶餘額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'實作練習 (419頁)'!$G$18:$G$98</c:f>
              <c:strCache>
                <c:ptCount val="76"/>
                <c:pt idx="0">
                  <c:v>期初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  <c:pt idx="5">
                  <c:v>29 </c:v>
                </c:pt>
                <c:pt idx="6">
                  <c:v>30 </c:v>
                </c:pt>
                <c:pt idx="7">
                  <c:v>31 </c:v>
                </c:pt>
                <c:pt idx="8">
                  <c:v>32 </c:v>
                </c:pt>
                <c:pt idx="9">
                  <c:v>33 </c:v>
                </c:pt>
                <c:pt idx="10">
                  <c:v>34 </c:v>
                </c:pt>
                <c:pt idx="11">
                  <c:v>35 </c:v>
                </c:pt>
                <c:pt idx="12">
                  <c:v>36 </c:v>
                </c:pt>
                <c:pt idx="13">
                  <c:v>37 </c:v>
                </c:pt>
                <c:pt idx="14">
                  <c:v>38 </c:v>
                </c:pt>
                <c:pt idx="15">
                  <c:v>39 </c:v>
                </c:pt>
                <c:pt idx="16">
                  <c:v>40 </c:v>
                </c:pt>
                <c:pt idx="17">
                  <c:v>41 </c:v>
                </c:pt>
                <c:pt idx="18">
                  <c:v>42 </c:v>
                </c:pt>
                <c:pt idx="19">
                  <c:v>43 </c:v>
                </c:pt>
                <c:pt idx="20">
                  <c:v>44 </c:v>
                </c:pt>
                <c:pt idx="21">
                  <c:v>45 </c:v>
                </c:pt>
                <c:pt idx="22">
                  <c:v>46 </c:v>
                </c:pt>
                <c:pt idx="23">
                  <c:v>47 </c:v>
                </c:pt>
                <c:pt idx="24">
                  <c:v>48 </c:v>
                </c:pt>
                <c:pt idx="25">
                  <c:v>49 </c:v>
                </c:pt>
                <c:pt idx="26">
                  <c:v>50 </c:v>
                </c:pt>
                <c:pt idx="27">
                  <c:v>51 </c:v>
                </c:pt>
                <c:pt idx="28">
                  <c:v>52 </c:v>
                </c:pt>
                <c:pt idx="29">
                  <c:v>53 </c:v>
                </c:pt>
                <c:pt idx="30">
                  <c:v>54 </c:v>
                </c:pt>
                <c:pt idx="31">
                  <c:v>55 </c:v>
                </c:pt>
                <c:pt idx="32">
                  <c:v>56 </c:v>
                </c:pt>
                <c:pt idx="33">
                  <c:v>57 </c:v>
                </c:pt>
                <c:pt idx="34">
                  <c:v>58 </c:v>
                </c:pt>
                <c:pt idx="35">
                  <c:v>59 </c:v>
                </c:pt>
                <c:pt idx="36">
                  <c:v>60 </c:v>
                </c:pt>
                <c:pt idx="37">
                  <c:v>61 </c:v>
                </c:pt>
                <c:pt idx="38">
                  <c:v>62 </c:v>
                </c:pt>
                <c:pt idx="39">
                  <c:v>63 </c:v>
                </c:pt>
                <c:pt idx="40">
                  <c:v>64 </c:v>
                </c:pt>
                <c:pt idx="41">
                  <c:v>65 </c:v>
                </c:pt>
                <c:pt idx="42">
                  <c:v>66 </c:v>
                </c:pt>
                <c:pt idx="43">
                  <c:v>67 </c:v>
                </c:pt>
                <c:pt idx="44">
                  <c:v>68 </c:v>
                </c:pt>
                <c:pt idx="45">
                  <c:v>69 </c:v>
                </c:pt>
                <c:pt idx="46">
                  <c:v>70 </c:v>
                </c:pt>
                <c:pt idx="47">
                  <c:v>71 </c:v>
                </c:pt>
                <c:pt idx="48">
                  <c:v>72 </c:v>
                </c:pt>
                <c:pt idx="49">
                  <c:v>73 </c:v>
                </c:pt>
                <c:pt idx="50">
                  <c:v>74 </c:v>
                </c:pt>
                <c:pt idx="51">
                  <c:v>75 </c:v>
                </c:pt>
                <c:pt idx="52">
                  <c:v>76 </c:v>
                </c:pt>
                <c:pt idx="53">
                  <c:v>77 </c:v>
                </c:pt>
                <c:pt idx="54">
                  <c:v>78 </c:v>
                </c:pt>
                <c:pt idx="55">
                  <c:v>79 </c:v>
                </c:pt>
                <c:pt idx="56">
                  <c:v>80 </c:v>
                </c:pt>
                <c:pt idx="57">
                  <c:v>81 </c:v>
                </c:pt>
                <c:pt idx="58">
                  <c:v>82 </c:v>
                </c:pt>
                <c:pt idx="59">
                  <c:v>83 </c:v>
                </c:pt>
                <c:pt idx="60">
                  <c:v>84 </c:v>
                </c:pt>
                <c:pt idx="61">
                  <c:v>85 </c:v>
                </c:pt>
                <c:pt idx="62">
                  <c:v>86 </c:v>
                </c:pt>
                <c:pt idx="63">
                  <c:v>87 </c:v>
                </c:pt>
                <c:pt idx="64">
                  <c:v>88 </c:v>
                </c:pt>
                <c:pt idx="65">
                  <c:v>89 </c:v>
                </c:pt>
                <c:pt idx="66">
                  <c:v>90 </c:v>
                </c:pt>
                <c:pt idx="67">
                  <c:v>91 </c:v>
                </c:pt>
                <c:pt idx="68">
                  <c:v>92 </c:v>
                </c:pt>
                <c:pt idx="69">
                  <c:v>93 </c:v>
                </c:pt>
                <c:pt idx="70">
                  <c:v>94 </c:v>
                </c:pt>
                <c:pt idx="71">
                  <c:v>95 </c:v>
                </c:pt>
                <c:pt idx="72">
                  <c:v>96 </c:v>
                </c:pt>
                <c:pt idx="73">
                  <c:v>97 </c:v>
                </c:pt>
                <c:pt idx="74">
                  <c:v>98 </c:v>
                </c:pt>
                <c:pt idx="75">
                  <c:v>99 </c:v>
                </c:pt>
              </c:strCache>
            </c:strRef>
          </c:cat>
          <c:val>
            <c:numRef>
              <c:f>'實作練習 (419頁)'!$L$18:$L$98</c:f>
              <c:numCache>
                <c:formatCode>#,##0_ ;[Red]\-#,##0\ </c:formatCode>
                <c:ptCount val="81"/>
                <c:pt idx="0">
                  <c:v>200000</c:v>
                </c:pt>
                <c:pt idx="1">
                  <c:v>286951.0473260365</c:v>
                </c:pt>
                <c:pt idx="2">
                  <c:v>381292.93367478612</c:v>
                </c:pt>
                <c:pt idx="3">
                  <c:v>483653.88036317943</c:v>
                </c:pt>
                <c:pt idx="4">
                  <c:v>594715.50752008613</c:v>
                </c:pt>
                <c:pt idx="5">
                  <c:v>715217.37298532994</c:v>
                </c:pt>
                <c:pt idx="6">
                  <c:v>845961.89701511944</c:v>
                </c:pt>
                <c:pt idx="7">
                  <c:v>987819.7055874411</c:v>
                </c:pt>
                <c:pt idx="8">
                  <c:v>1141735.4278884102</c:v>
                </c:pt>
                <c:pt idx="9">
                  <c:v>1308733.9865849614</c:v>
                </c:pt>
                <c:pt idx="10">
                  <c:v>1489927.4227707197</c:v>
                </c:pt>
                <c:pt idx="11">
                  <c:v>1686522.3010322675</c:v>
                </c:pt>
                <c:pt idx="12">
                  <c:v>1899827.7439460468</c:v>
                </c:pt>
                <c:pt idx="13">
                  <c:v>2131264.1495074974</c:v>
                </c:pt>
                <c:pt idx="14">
                  <c:v>2382372.6495416709</c:v>
                </c:pt>
                <c:pt idx="15">
                  <c:v>2654825.3720787494</c:v>
                </c:pt>
                <c:pt idx="16">
                  <c:v>2950436.5760314795</c:v>
                </c:pt>
                <c:pt idx="17">
                  <c:v>3271174.7323201913</c:v>
                </c:pt>
                <c:pt idx="18">
                  <c:v>3619175.6318934439</c:v>
                </c:pt>
                <c:pt idx="19">
                  <c:v>3996756.6079304228</c:v>
                </c:pt>
                <c:pt idx="20">
                  <c:v>4406431.9669305449</c:v>
                </c:pt>
                <c:pt idx="21">
                  <c:v>4850929.7314456776</c:v>
                </c:pt>
                <c:pt idx="22">
                  <c:v>5333209.8059445973</c:v>
                </c:pt>
                <c:pt idx="23">
                  <c:v>5856483.6867759246</c:v>
                </c:pt>
                <c:pt idx="24">
                  <c:v>6424235.8474779148</c:v>
                </c:pt>
                <c:pt idx="25">
                  <c:v>7040246.9418395739</c:v>
                </c:pt>
                <c:pt idx="26">
                  <c:v>7708618.9792219745</c:v>
                </c:pt>
                <c:pt idx="27">
                  <c:v>8433802.6397818793</c:v>
                </c:pt>
                <c:pt idx="28">
                  <c:v>9220626.9114893749</c:v>
                </c:pt>
                <c:pt idx="29">
                  <c:v>10074331.246292008</c:v>
                </c:pt>
                <c:pt idx="30">
                  <c:v>11000600.449552864</c:v>
                </c:pt>
                <c:pt idx="31">
                  <c:v>12005602.535090894</c:v>
                </c:pt>
                <c:pt idx="32">
                  <c:v>13096029.797899656</c:v>
                </c:pt>
                <c:pt idx="33">
                  <c:v>14279143.378047163</c:v>
                </c:pt>
                <c:pt idx="34">
                  <c:v>15562821.612507207</c:v>
                </c:pt>
                <c:pt idx="35">
                  <c:v>16519678.765298884</c:v>
                </c:pt>
                <c:pt idx="36">
                  <c:v>16385730.297334407</c:v>
                </c:pt>
                <c:pt idx="37">
                  <c:v>16220605.757847117</c:v>
                </c:pt>
                <c:pt idx="38">
                  <c:v>16038415.682298381</c:v>
                </c:pt>
                <c:pt idx="39">
                  <c:v>15821648.517463388</c:v>
                </c:pt>
                <c:pt idx="40">
                  <c:v>15568066.057167646</c:v>
                </c:pt>
                <c:pt idx="41">
                  <c:v>15292455.964579435</c:v>
                </c:pt>
                <c:pt idx="42">
                  <c:v>14976038.961879168</c:v>
                </c:pt>
                <c:pt idx="43">
                  <c:v>14616234.175451588</c:v>
                </c:pt>
                <c:pt idx="44">
                  <c:v>14228518.436869079</c:v>
                </c:pt>
                <c:pt idx="45">
                  <c:v>14085278.778284179</c:v>
                </c:pt>
                <c:pt idx="46">
                  <c:v>13911473.73639914</c:v>
                </c:pt>
                <c:pt idx="47">
                  <c:v>13724418.369689761</c:v>
                </c:pt>
                <c:pt idx="48">
                  <c:v>13503661.336899037</c:v>
                </c:pt>
                <c:pt idx="49">
                  <c:v>13247030.576767979</c:v>
                </c:pt>
                <c:pt idx="50">
                  <c:v>12972729.092968618</c:v>
                </c:pt>
                <c:pt idx="51">
                  <c:v>12658873.289900184</c:v>
                </c:pt>
                <c:pt idx="52">
                  <c:v>12302968.666697638</c:v>
                </c:pt>
                <c:pt idx="53">
                  <c:v>11924133.429797227</c:v>
                </c:pt>
                <c:pt idx="54">
                  <c:v>11498935.617459886</c:v>
                </c:pt>
                <c:pt idx="55">
                  <c:v>11309794.82925215</c:v>
                </c:pt>
                <c:pt idx="56">
                  <c:v>11111453.015494123</c:v>
                </c:pt>
                <c:pt idx="57">
                  <c:v>10879914.761648003</c:v>
                </c:pt>
                <c:pt idx="58">
                  <c:v>10613054.658721378</c:v>
                </c:pt>
                <c:pt idx="59">
                  <c:v>10333123.234604871</c:v>
                </c:pt>
                <c:pt idx="60">
                  <c:v>10014491.007464256</c:v>
                </c:pt>
                <c:pt idx="61">
                  <c:v>9654728.8525119647</c:v>
                </c:pt>
                <c:pt idx="62">
                  <c:v>9277266.9030001126</c:v>
                </c:pt>
                <c:pt idx="63">
                  <c:v>8854715.5275732521</c:v>
                </c:pt>
                <c:pt idx="64">
                  <c:v>8384295.9283668473</c:v>
                </c:pt>
                <c:pt idx="65">
                  <c:v>7890661.3094617892</c:v>
                </c:pt>
                <c:pt idx="66">
                  <c:v>7344523.9821409434</c:v>
                </c:pt>
                <c:pt idx="67">
                  <c:v>6742702.3914341116</c:v>
                </c:pt>
                <c:pt idx="68">
                  <c:v>6111114.4086693013</c:v>
                </c:pt>
                <c:pt idx="69">
                  <c:v>5418423.1829067003</c:v>
                </c:pt>
                <c:pt idx="70">
                  <c:v>4660983.0751192281</c:v>
                </c:pt>
                <c:pt idx="71">
                  <c:v>3866015.5228908602</c:v>
                </c:pt>
                <c:pt idx="72">
                  <c:v>2999968.6537565687</c:v>
                </c:pt>
                <c:pt idx="73">
                  <c:v>2058661.883085167</c:v>
                </c:pt>
                <c:pt idx="74">
                  <c:v>1070655.4247152072</c:v>
                </c:pt>
                <c:pt idx="75">
                  <c:v>-9.3597918748855591E-8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06248"/>
        <c:axId val="36605072"/>
      </c:barChart>
      <c:catAx>
        <c:axId val="36606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layout>
            <c:manualLayout>
              <c:xMode val="edge"/>
              <c:yMode val="edge"/>
              <c:x val="0.52131760109054215"/>
              <c:y val="0.90547758874064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6605072"/>
        <c:crosses val="autoZero"/>
        <c:auto val="1"/>
        <c:lblAlgn val="ctr"/>
        <c:lblOffset val="100"/>
        <c:noMultiLvlLbl val="0"/>
      </c:catAx>
      <c:valAx>
        <c:axId val="366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660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110985</xdr:rowOff>
    </xdr:from>
    <xdr:to>
      <xdr:col>11</xdr:col>
      <xdr:colOff>1010479</xdr:colOff>
      <xdr:row>14</xdr:row>
      <xdr:rowOff>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215348</xdr:colOff>
      <xdr:row>0</xdr:row>
      <xdr:rowOff>140804</xdr:rowOff>
    </xdr:from>
    <xdr:ext cx="2360544" cy="786848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913" y="140804"/>
          <a:ext cx="2360544" cy="78684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費用需求表" displayName="費用需求表" ref="A17:E88" totalsRowShown="0" headerRowDxfId="18" dataDxfId="17">
  <tableColumns count="5">
    <tableColumn id="1" name="年齡" dataDxfId="16">
      <calculatedColumnFormula>IF(A17&lt;99,A17+1,"")</calculatedColumnFormula>
    </tableColumn>
    <tableColumn id="2" name="費用現值" dataDxfId="15">
      <calculatedColumnFormula>IF(ISNUMBER(費用需求表[[#This Row],[年齡]]),VLOOKUP(費用需求表[[#This Row],[年齡]],階梯式費用[],2),"")</calculatedColumnFormula>
    </tableColumn>
    <tableColumn id="3" name="通膨調整金額" dataDxfId="14">
      <calculatedColumnFormula>IF(ISNUMBER(費用需求表[[#This Row],[年齡]]),費用需求表[[#This Row],[費用現值]]*(1+通貨膨脹率)^(費用需求表[[#This Row],[年齡]]-現在年齡),"")</calculatedColumnFormula>
    </tableColumn>
    <tableColumn id="5" name="年金" dataDxfId="13">
      <calculatedColumnFormula>IF(ISNUMBER(費用需求表[[#This Row],[年齡]]),年金*12*FLOOR((1+通貨膨脹率)^(費用需求表[[#This Row],[年齡]]-退休年齡),5%),"")</calculatedColumnFormula>
    </tableColumn>
    <tableColumn id="6" name="年度缺額" dataDxfId="12">
      <calculatedColumnFormula>IF(ISNUMBER(費用需求表[[#This Row],[年齡]]),費用需求表[[#This Row],[通膨調整金額]]-費用需求表[[#This Row],[年金]],"")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階梯式費用" displayName="階梯式費用" ref="D2:E6" totalsRowShown="0" headerRowDxfId="11" dataDxfId="10">
  <tableColumns count="2">
    <tableColumn id="1" name="年齡" dataDxfId="9"/>
    <tableColumn id="2" name="年費用現值" dataDxfId="8" dataCellStyle="千分位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明細表" displayName="明細表" ref="G17:L98" totalsRowShown="0" headerRowDxfId="7" dataDxfId="6">
  <tableColumns count="6">
    <tableColumn id="1" name="年齡" dataDxfId="5">
      <calculatedColumnFormula>G17+1</calculatedColumnFormula>
    </tableColumn>
    <tableColumn id="2" name="投入金額" dataDxfId="4">
      <calculatedColumnFormula>IF(明細表[[#This Row],[年齡]]&lt;退休年齡,FV(NOMINAL(退休前投資報酬率,12)/12,12,-每年投入金額),0)</calculatedColumnFormula>
    </tableColumn>
    <tableColumn id="3" name="支出金額" dataDxfId="3">
      <calculatedColumnFormula>IF(明細表[[#This Row],[年齡]]&gt;=退休年齡,VLOOKUP(明細表[[#This Row],[年齡]],費用需求表[],COLUMN(費用需求表[[#Headers],[年度缺額]]),1),0)</calculatedColumnFormula>
    </tableColumn>
    <tableColumn id="7" name="投資報酬率" dataDxfId="2" dataCellStyle="百分比">
      <calculatedColumnFormula>IF(明細表[[#This Row],[年齡]]&gt;=退休年齡,退休後投資報酬率,退休前投資報酬率)</calculatedColumnFormula>
    </tableColumn>
    <tableColumn id="5" name="收益" dataDxfId="1"/>
    <tableColumn id="6" name="帳戶餘額" dataDxfId="0">
      <calculatedColumnFormula>明細表[[#This Row],[投入金額]]+明細表[[#This Row],[收益]]-明細表[[#This Row],[支出金額]]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zoomScale="115" zoomScaleNormal="115" workbookViewId="0">
      <pane ySplit="10125" topLeftCell="A91" activePane="bottomLeft"/>
      <selection activeCell="O11" sqref="O11"/>
      <selection pane="bottomLeft" activeCell="R4" sqref="R4"/>
    </sheetView>
  </sheetViews>
  <sheetFormatPr defaultColWidth="9" defaultRowHeight="15.75" x14ac:dyDescent="0.25"/>
  <cols>
    <col min="1" max="1" width="18.625" style="1" bestFit="1" customWidth="1"/>
    <col min="2" max="2" width="14.75" style="1" customWidth="1"/>
    <col min="3" max="3" width="14.125" style="1" bestFit="1" customWidth="1"/>
    <col min="4" max="4" width="14.25" style="1" customWidth="1"/>
    <col min="5" max="5" width="15.375" style="1" customWidth="1"/>
    <col min="6" max="6" width="10" style="1" customWidth="1"/>
    <col min="7" max="7" width="9.625" style="1" customWidth="1"/>
    <col min="8" max="8" width="12.125" style="1" customWidth="1"/>
    <col min="9" max="9" width="14" style="1" customWidth="1"/>
    <col min="10" max="10" width="16.25" style="1" bestFit="1" customWidth="1"/>
    <col min="11" max="11" width="17.625" style="1" customWidth="1"/>
    <col min="12" max="12" width="13.375" style="1" bestFit="1" customWidth="1"/>
    <col min="13" max="16384" width="9" style="1"/>
  </cols>
  <sheetData>
    <row r="1" spans="1:12" ht="16.5" x14ac:dyDescent="0.25">
      <c r="A1" s="22" t="s">
        <v>18</v>
      </c>
      <c r="B1" s="22"/>
      <c r="D1" s="9" t="s">
        <v>21</v>
      </c>
    </row>
    <row r="2" spans="1:12" x14ac:dyDescent="0.25">
      <c r="A2" s="10" t="s">
        <v>8</v>
      </c>
      <c r="B2" s="11">
        <v>60</v>
      </c>
      <c r="D2" s="5" t="s">
        <v>4</v>
      </c>
      <c r="E2" s="5" t="s">
        <v>7</v>
      </c>
    </row>
    <row r="3" spans="1:12" x14ac:dyDescent="0.25">
      <c r="A3" s="10" t="s">
        <v>0</v>
      </c>
      <c r="B3" s="12">
        <v>0.05</v>
      </c>
      <c r="D3" s="5">
        <f>退休年齡</f>
        <v>60</v>
      </c>
      <c r="E3" s="2">
        <v>600000</v>
      </c>
    </row>
    <row r="4" spans="1:12" x14ac:dyDescent="0.25">
      <c r="A4" s="10" t="s">
        <v>25</v>
      </c>
      <c r="B4" s="12">
        <v>0.02</v>
      </c>
      <c r="D4" s="16">
        <v>70</v>
      </c>
      <c r="E4" s="2">
        <f>E3*0.8</f>
        <v>480000</v>
      </c>
    </row>
    <row r="5" spans="1:12" x14ac:dyDescent="0.25">
      <c r="A5" s="10" t="s">
        <v>9</v>
      </c>
      <c r="B5" s="13">
        <v>500000</v>
      </c>
      <c r="D5" s="16">
        <v>80</v>
      </c>
      <c r="E5" s="2">
        <f>E4*0.8</f>
        <v>384000</v>
      </c>
    </row>
    <row r="6" spans="1:12" x14ac:dyDescent="0.25">
      <c r="A6" s="10" t="s">
        <v>10</v>
      </c>
      <c r="B6" s="13">
        <v>22000</v>
      </c>
      <c r="C6" s="1" t="s">
        <v>11</v>
      </c>
      <c r="D6" s="16"/>
      <c r="E6" s="2">
        <v>0</v>
      </c>
    </row>
    <row r="7" spans="1:12" x14ac:dyDescent="0.25">
      <c r="A7" s="18" t="s">
        <v>26</v>
      </c>
      <c r="B7" s="15">
        <f>NPV(退休後投資報酬率,費用需求表[年度缺額])*(1+退休後投資報酬率)-一次領退休金</f>
        <v>16955612.496896368</v>
      </c>
      <c r="H7" s="4"/>
      <c r="J7" s="4"/>
    </row>
    <row r="8" spans="1:12" x14ac:dyDescent="0.25">
      <c r="H8" s="4"/>
      <c r="J8" s="4"/>
    </row>
    <row r="10" spans="1:12" ht="16.5" x14ac:dyDescent="0.25">
      <c r="A10" s="22" t="s">
        <v>17</v>
      </c>
      <c r="B10" s="22"/>
      <c r="C10" s="8"/>
    </row>
    <row r="11" spans="1:12" x14ac:dyDescent="0.25">
      <c r="A11" s="10" t="s">
        <v>2</v>
      </c>
      <c r="B11" s="11">
        <v>25</v>
      </c>
      <c r="D11" s="19" t="s">
        <v>27</v>
      </c>
      <c r="E11" s="21">
        <f>ROUNDUP(LN(1.05)/LN(1+通貨膨脹率),0)</f>
        <v>3</v>
      </c>
    </row>
    <row r="12" spans="1:12" x14ac:dyDescent="0.25">
      <c r="A12" s="10" t="s">
        <v>1</v>
      </c>
      <c r="B12" s="12">
        <v>8.5000000000000006E-2</v>
      </c>
      <c r="D12" s="19" t="s">
        <v>28</v>
      </c>
      <c r="E12" s="20">
        <f>(1+通貨膨脹率)^通膨調整年數</f>
        <v>1.0612079999999999</v>
      </c>
    </row>
    <row r="13" spans="1:12" x14ac:dyDescent="0.25">
      <c r="A13" s="10" t="s">
        <v>3</v>
      </c>
      <c r="B13" s="13">
        <v>200000</v>
      </c>
    </row>
    <row r="14" spans="1:12" x14ac:dyDescent="0.25">
      <c r="A14" s="14" t="s">
        <v>23</v>
      </c>
      <c r="B14" s="15">
        <f>-PMT(退休前投資報酬率,退休年齡-現在年齡,-現有退休準備金,退休準備金)</f>
        <v>69951.047326036467</v>
      </c>
    </row>
    <row r="16" spans="1:12" ht="16.5" x14ac:dyDescent="0.25">
      <c r="A16" s="9" t="s">
        <v>24</v>
      </c>
      <c r="G16" s="17" t="s">
        <v>22</v>
      </c>
      <c r="H16" s="5"/>
      <c r="I16" s="5"/>
      <c r="J16" s="5"/>
      <c r="K16" s="5"/>
      <c r="L16" s="5"/>
    </row>
    <row r="17" spans="1:15" x14ac:dyDescent="0.25">
      <c r="A17" s="5" t="s">
        <v>4</v>
      </c>
      <c r="B17" s="5" t="s">
        <v>5</v>
      </c>
      <c r="C17" s="5" t="s">
        <v>6</v>
      </c>
      <c r="D17" s="5" t="s">
        <v>10</v>
      </c>
      <c r="E17" s="5" t="s">
        <v>19</v>
      </c>
      <c r="G17" s="5" t="s">
        <v>4</v>
      </c>
      <c r="H17" s="5" t="s">
        <v>12</v>
      </c>
      <c r="I17" s="5" t="s">
        <v>13</v>
      </c>
      <c r="J17" s="5" t="s">
        <v>15</v>
      </c>
      <c r="K17" s="5" t="s">
        <v>14</v>
      </c>
      <c r="L17" s="5" t="s">
        <v>20</v>
      </c>
    </row>
    <row r="18" spans="1:15" x14ac:dyDescent="0.25">
      <c r="A18" s="7">
        <f>退休年齡</f>
        <v>60</v>
      </c>
      <c r="B18" s="3">
        <f>IF(ISNUMBER(費用需求表[[#This Row],[年齡]]),VLOOKUP(費用需求表[[#This Row],[年齡]],階梯式費用[],2),"")</f>
        <v>600000</v>
      </c>
      <c r="C18" s="3">
        <f>IF(ISNUMBER(費用需求表[[#This Row],[年齡]]),費用需求表[[#This Row],[費用現值]]*(1+通貨膨脹率)^(費用需求表[[#This Row],[年齡]]-現在年齡),"")</f>
        <v>1199933.7315974729</v>
      </c>
      <c r="D18" s="3">
        <f>年金*12</f>
        <v>264000</v>
      </c>
      <c r="E18" s="3">
        <f>IF(ISNUMBER(費用需求表[[#This Row],[年齡]]),費用需求表[[#This Row],[通膨調整金額]]-費用需求表[[#This Row],[年金]],"")</f>
        <v>935933.73159747291</v>
      </c>
      <c r="F18" s="6"/>
      <c r="G18" s="7" t="s">
        <v>16</v>
      </c>
      <c r="H18" s="3"/>
      <c r="I18" s="3"/>
      <c r="J18" s="6"/>
      <c r="K18" s="3"/>
      <c r="L18" s="3">
        <f>現有退休準備金</f>
        <v>200000</v>
      </c>
    </row>
    <row r="19" spans="1:15" x14ac:dyDescent="0.25">
      <c r="A19" s="7">
        <f t="shared" ref="A19" si="0">IF(A18&lt;99,A18+1,"")</f>
        <v>61</v>
      </c>
      <c r="B19" s="3">
        <f>IF(ISNUMBER(費用需求表[[#This Row],[年齡]]),VLOOKUP(費用需求表[[#This Row],[年齡]],階梯式費用[],2),"")</f>
        <v>600000</v>
      </c>
      <c r="C19" s="3">
        <f>IF(ISNUMBER(費用需求表[[#This Row],[年齡]]),費用需求表[[#This Row],[費用現值]]*(1+通貨膨脹率)^(費用需求表[[#This Row],[年齡]]-現在年齡),"")</f>
        <v>1223932.4062294222</v>
      </c>
      <c r="D19" s="3">
        <f>IF(ISNUMBER(費用需求表[[#This Row],[年齡]]),IF(MOD(費用需求表[[#This Row],[年齡]]-退休年齡,通膨調整年數)=0,D18*通膨調整比例,D18),"")</f>
        <v>264000</v>
      </c>
      <c r="E19" s="3">
        <f>IF(ISNUMBER(費用需求表[[#This Row],[年齡]]),費用需求表[[#This Row],[通膨調整金額]]-費用需求表[[#This Row],[年金]],"")</f>
        <v>959932.40622942219</v>
      </c>
      <c r="F19" s="6"/>
      <c r="G19" s="7">
        <f>現在年齡</f>
        <v>25</v>
      </c>
      <c r="H19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19" s="3">
        <f>IF(ISNUMBER(明細表[[#This Row],[年齡]]),IF(明細表[[#This Row],[年齡]]&gt;=退休年齡-1,VLOOKUP(明細表[[#This Row],[年齡]]+1,費用需求表[],5,1),0),"")</f>
        <v>0</v>
      </c>
      <c r="J19" s="6">
        <f>IF(ISNUMBER(明細表[[#This Row],[年齡]]),IF(明細表[[#This Row],[年齡]]&gt;=退休年齡,退休後投資報酬率,退休前投資報酬率),"")</f>
        <v>8.5000000000000006E-2</v>
      </c>
      <c r="K19" s="3">
        <f>IF(ISNUMBER(明細表[[#This Row],[年齡]]),L18*明細表[[#This Row],[投資報酬率]],"")</f>
        <v>17000</v>
      </c>
      <c r="L19" s="3">
        <f>L18+明細表[[#This Row],[投入金額]]+明細表[[#This Row],[收益]]-明細表[[#This Row],[支出金額]]</f>
        <v>286951.0473260365</v>
      </c>
      <c r="O19" s="19"/>
    </row>
    <row r="20" spans="1:15" x14ac:dyDescent="0.25">
      <c r="A20" s="7">
        <f>IF(A19&lt;100,A19+1,"")</f>
        <v>62</v>
      </c>
      <c r="B20" s="3">
        <f>IF(ISNUMBER(費用需求表[[#This Row],[年齡]]),VLOOKUP(費用需求表[[#This Row],[年齡]],階梯式費用[],2),"")</f>
        <v>600000</v>
      </c>
      <c r="C20" s="3">
        <f>IF(ISNUMBER(費用需求表[[#This Row],[年齡]]),費用需求表[[#This Row],[費用現值]]*(1+通貨膨脹率)^(費用需求表[[#This Row],[年齡]]-現在年齡),"")</f>
        <v>1248411.0543540108</v>
      </c>
      <c r="D20" s="3">
        <f>IF(ISNUMBER(費用需求表[[#This Row],[年齡]]),IF(MOD(費用需求表[[#This Row],[年齡]]-退休年齡,通膨調整年數)=0,D19*通膨調整比例,D19),"")</f>
        <v>264000</v>
      </c>
      <c r="E20" s="3">
        <f>IF(ISNUMBER(費用需求表[[#This Row],[年齡]]),費用需求表[[#This Row],[通膨調整金額]]-費用需求表[[#This Row],[年金]],"")</f>
        <v>984411.05435401085</v>
      </c>
      <c r="F20" s="6"/>
      <c r="G20" s="7">
        <f>IF(G19&lt;99,G19+1,"")</f>
        <v>26</v>
      </c>
      <c r="H20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0" s="3">
        <f>IF(ISNUMBER(明細表[[#This Row],[年齡]]),IF(明細表[[#This Row],[年齡]]&gt;=退休年齡-1,VLOOKUP(明細表[[#This Row],[年齡]]+1,費用需求表[],5,1),0),"")</f>
        <v>0</v>
      </c>
      <c r="J20" s="6">
        <f>IF(ISNUMBER(明細表[[#This Row],[年齡]]),IF(明細表[[#This Row],[年齡]]&gt;=退休年齡,退休後投資報酬率,退休前投資報酬率),"")</f>
        <v>8.5000000000000006E-2</v>
      </c>
      <c r="K20" s="3">
        <f>IF(ISNUMBER(明細表[[#This Row],[年齡]]),L19*明細表[[#This Row],[投資報酬率]],"")</f>
        <v>24390.839022713102</v>
      </c>
      <c r="L20" s="3">
        <f>IF(ISNUMBER(明細表[[#This Row],[年齡]]),L19+明細表[[#This Row],[投入金額]]+明細表[[#This Row],[收益]]-明細表[[#This Row],[支出金額]],"")</f>
        <v>381292.93367478612</v>
      </c>
    </row>
    <row r="21" spans="1:15" x14ac:dyDescent="0.25">
      <c r="A21" s="7">
        <f t="shared" ref="A21:A84" si="1">IF(A20&lt;100,A20+1,"")</f>
        <v>63</v>
      </c>
      <c r="B21" s="3">
        <f>IF(ISNUMBER(費用需求表[[#This Row],[年齡]]),VLOOKUP(費用需求表[[#This Row],[年齡]],階梯式費用[],2),"")</f>
        <v>600000</v>
      </c>
      <c r="C21" s="3">
        <f>IF(ISNUMBER(費用需求表[[#This Row],[年齡]]),費用需求表[[#This Row],[費用現值]]*(1+通貨膨脹率)^(費用需求表[[#This Row],[年齡]]-現在年齡),"")</f>
        <v>1273379.2754410913</v>
      </c>
      <c r="D21" s="3">
        <f>IF(ISNUMBER(費用需求表[[#This Row],[年齡]]),IF(MOD(費用需求表[[#This Row],[年齡]]-退休年齡,通膨調整年數)=0,D20*通膨調整比例,D20),"")</f>
        <v>280158.91199999995</v>
      </c>
      <c r="E21" s="3">
        <f>IF(ISNUMBER(費用需求表[[#This Row],[年齡]]),費用需求表[[#This Row],[通膨調整金額]]-費用需求表[[#This Row],[年金]],"")</f>
        <v>993220.36344109126</v>
      </c>
      <c r="F21" s="6"/>
      <c r="G21" s="7">
        <f t="shared" ref="G21:G84" si="2">IF(G20&lt;99,G20+1,"")</f>
        <v>27</v>
      </c>
      <c r="H21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1" s="3">
        <f>IF(ISNUMBER(明細表[[#This Row],[年齡]]),IF(明細表[[#This Row],[年齡]]&gt;=退休年齡-1,VLOOKUP(明細表[[#This Row],[年齡]]+1,費用需求表[],5,1),0),"")</f>
        <v>0</v>
      </c>
      <c r="J21" s="6">
        <f>IF(ISNUMBER(明細表[[#This Row],[年齡]]),IF(明細表[[#This Row],[年齡]]&gt;=退休年齡,退休後投資報酬率,退休前投資報酬率),"")</f>
        <v>8.5000000000000006E-2</v>
      </c>
      <c r="K21" s="3">
        <f>IF(ISNUMBER(明細表[[#This Row],[年齡]]),L20*明細表[[#This Row],[投資報酬率]],"")</f>
        <v>32409.899362356824</v>
      </c>
      <c r="L21" s="3">
        <f>IF(ISNUMBER(明細表[[#This Row],[年齡]]),L20+明細表[[#This Row],[投入金額]]+明細表[[#This Row],[收益]]-明細表[[#This Row],[支出金額]],"")</f>
        <v>483653.88036317943</v>
      </c>
    </row>
    <row r="22" spans="1:15" x14ac:dyDescent="0.25">
      <c r="A22" s="7">
        <f t="shared" si="1"/>
        <v>64</v>
      </c>
      <c r="B22" s="3">
        <f>IF(ISNUMBER(費用需求表[[#This Row],[年齡]]),VLOOKUP(費用需求表[[#This Row],[年齡]],階梯式費用[],2),"")</f>
        <v>600000</v>
      </c>
      <c r="C22" s="3">
        <f>IF(ISNUMBER(費用需求表[[#This Row],[年齡]]),費用需求表[[#This Row],[費用現值]]*(1+通貨膨脹率)^(費用需求表[[#This Row],[年齡]]-現在年齡),"")</f>
        <v>1298846.8609499126</v>
      </c>
      <c r="D22" s="3">
        <f>IF(ISNUMBER(費用需求表[[#This Row],[年齡]]),IF(MOD(費用需求表[[#This Row],[年齡]]-退休年齡,通膨調整年數)=0,D21*通膨調整比例,D21),"")</f>
        <v>280158.91199999995</v>
      </c>
      <c r="E22" s="3">
        <f>IF(ISNUMBER(費用需求表[[#This Row],[年齡]]),費用需求表[[#This Row],[通膨調整金額]]-費用需求表[[#This Row],[年金]],"")</f>
        <v>1018687.9489499126</v>
      </c>
      <c r="F22" s="6"/>
      <c r="G22" s="7">
        <f t="shared" si="2"/>
        <v>28</v>
      </c>
      <c r="H22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2" s="3">
        <f>IF(ISNUMBER(明細表[[#This Row],[年齡]]),IF(明細表[[#This Row],[年齡]]&gt;=退休年齡-1,VLOOKUP(明細表[[#This Row],[年齡]]+1,費用需求表[],5,1),0),"")</f>
        <v>0</v>
      </c>
      <c r="J22" s="6">
        <f>IF(ISNUMBER(明細表[[#This Row],[年齡]]),IF(明細表[[#This Row],[年齡]]&gt;=退休年齡,退休後投資報酬率,退休前投資報酬率),"")</f>
        <v>8.5000000000000006E-2</v>
      </c>
      <c r="K22" s="3">
        <f>IF(ISNUMBER(明細表[[#This Row],[年齡]]),L21*明細表[[#This Row],[投資報酬率]],"")</f>
        <v>41110.579830870258</v>
      </c>
      <c r="L22" s="3">
        <f>IF(ISNUMBER(明細表[[#This Row],[年齡]]),L21+明細表[[#This Row],[投入金額]]+明細表[[#This Row],[收益]]-明細表[[#This Row],[支出金額]],"")</f>
        <v>594715.50752008613</v>
      </c>
    </row>
    <row r="23" spans="1:15" x14ac:dyDescent="0.25">
      <c r="A23" s="7">
        <f t="shared" si="1"/>
        <v>65</v>
      </c>
      <c r="B23" s="3">
        <f>IF(ISNUMBER(費用需求表[[#This Row],[年齡]]),VLOOKUP(費用需求表[[#This Row],[年齡]],階梯式費用[],2),"")</f>
        <v>600000</v>
      </c>
      <c r="C23" s="3">
        <f>IF(ISNUMBER(費用需求表[[#This Row],[年齡]]),費用需求表[[#This Row],[費用現值]]*(1+通貨膨脹率)^(費用需求表[[#This Row],[年齡]]-現在年齡),"")</f>
        <v>1324823.7981689111</v>
      </c>
      <c r="D23" s="3">
        <f>IF(ISNUMBER(費用需求表[[#This Row],[年齡]]),IF(MOD(費用需求表[[#This Row],[年齡]]-退休年齡,通膨調整年數)=0,D22*通膨調整比例,D22),"")</f>
        <v>280158.91199999995</v>
      </c>
      <c r="E23" s="3">
        <f>IF(ISNUMBER(費用需求表[[#This Row],[年齡]]),費用需求表[[#This Row],[通膨調整金額]]-費用需求表[[#This Row],[年金]],"")</f>
        <v>1044664.8861689111</v>
      </c>
      <c r="F23" s="6"/>
      <c r="G23" s="7">
        <f t="shared" si="2"/>
        <v>29</v>
      </c>
      <c r="H23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3" s="3">
        <f>IF(ISNUMBER(明細表[[#This Row],[年齡]]),IF(明細表[[#This Row],[年齡]]&gt;=退休年齡-1,VLOOKUP(明細表[[#This Row],[年齡]]+1,費用需求表[],5,1),0),"")</f>
        <v>0</v>
      </c>
      <c r="J23" s="6">
        <f>IF(ISNUMBER(明細表[[#This Row],[年齡]]),IF(明細表[[#This Row],[年齡]]&gt;=退休年齡,退休後投資報酬率,退休前投資報酬率),"")</f>
        <v>8.5000000000000006E-2</v>
      </c>
      <c r="K23" s="3">
        <f>IF(ISNUMBER(明細表[[#This Row],[年齡]]),L22*明細表[[#This Row],[投資報酬率]],"")</f>
        <v>50550.818139207324</v>
      </c>
      <c r="L23" s="3">
        <f>IF(ISNUMBER(明細表[[#This Row],[年齡]]),L22+明細表[[#This Row],[投入金額]]+明細表[[#This Row],[收益]]-明細表[[#This Row],[支出金額]],"")</f>
        <v>715217.37298532994</v>
      </c>
    </row>
    <row r="24" spans="1:15" x14ac:dyDescent="0.25">
      <c r="A24" s="7">
        <f t="shared" si="1"/>
        <v>66</v>
      </c>
      <c r="B24" s="3">
        <f>IF(ISNUMBER(費用需求表[[#This Row],[年齡]]),VLOOKUP(費用需求表[[#This Row],[年齡]],階梯式費用[],2),"")</f>
        <v>600000</v>
      </c>
      <c r="C24" s="3">
        <f>IF(ISNUMBER(費用需求表[[#This Row],[年齡]]),費用需求表[[#This Row],[費用現值]]*(1+通貨膨脹率)^(費用需求表[[#This Row],[年齡]]-現在年齡),"")</f>
        <v>1351320.2741322892</v>
      </c>
      <c r="D24" s="3">
        <f>IF(ISNUMBER(費用需求表[[#This Row],[年齡]]),IF(MOD(費用需求表[[#This Row],[年齡]]-退休年齡,通膨調整年數)=0,D23*通膨調整比例,D23),"")</f>
        <v>297306.87868569593</v>
      </c>
      <c r="E24" s="3">
        <f>IF(ISNUMBER(費用需求表[[#This Row],[年齡]]),費用需求表[[#This Row],[通膨調整金額]]-費用需求表[[#This Row],[年金]],"")</f>
        <v>1054013.3954465934</v>
      </c>
      <c r="F24" s="6"/>
      <c r="G24" s="7">
        <f t="shared" si="2"/>
        <v>30</v>
      </c>
      <c r="H24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4" s="3">
        <f>IF(ISNUMBER(明細表[[#This Row],[年齡]]),IF(明細表[[#This Row],[年齡]]&gt;=退休年齡-1,VLOOKUP(明細表[[#This Row],[年齡]]+1,費用需求表[],5,1),0),"")</f>
        <v>0</v>
      </c>
      <c r="J24" s="6">
        <f>IF(ISNUMBER(明細表[[#This Row],[年齡]]),IF(明細表[[#This Row],[年齡]]&gt;=退休年齡,退休後投資報酬率,退休前投資報酬率),"")</f>
        <v>8.5000000000000006E-2</v>
      </c>
      <c r="K24" s="3">
        <f>IF(ISNUMBER(明細表[[#This Row],[年齡]]),L23*明細表[[#This Row],[投資報酬率]],"")</f>
        <v>60793.476703753047</v>
      </c>
      <c r="L24" s="3">
        <f>IF(ISNUMBER(明細表[[#This Row],[年齡]]),L23+明細表[[#This Row],[投入金額]]+明細表[[#This Row],[收益]]-明細表[[#This Row],[支出金額]],"")</f>
        <v>845961.89701511944</v>
      </c>
    </row>
    <row r="25" spans="1:15" x14ac:dyDescent="0.25">
      <c r="A25" s="7">
        <f t="shared" si="1"/>
        <v>67</v>
      </c>
      <c r="B25" s="3">
        <f>IF(ISNUMBER(費用需求表[[#This Row],[年齡]]),VLOOKUP(費用需求表[[#This Row],[年齡]],階梯式費用[],2),"")</f>
        <v>600000</v>
      </c>
      <c r="C25" s="3">
        <f>IF(ISNUMBER(費用需求表[[#This Row],[年齡]]),費用需求表[[#This Row],[費用現值]]*(1+通貨膨脹率)^(費用需求表[[#This Row],[年齡]]-現在年齡),"")</f>
        <v>1378346.6796149351</v>
      </c>
      <c r="D25" s="3">
        <f>IF(ISNUMBER(費用需求表[[#This Row],[年齡]]),IF(MOD(費用需求表[[#This Row],[年齡]]-退休年齡,通膨調整年數)=0,D24*通膨調整比例,D24),"")</f>
        <v>297306.87868569593</v>
      </c>
      <c r="E25" s="3">
        <f>IF(ISNUMBER(費用需求表[[#This Row],[年齡]]),費用需求表[[#This Row],[通膨調整金額]]-費用需求表[[#This Row],[年金]],"")</f>
        <v>1081039.800929239</v>
      </c>
      <c r="F25" s="6"/>
      <c r="G25" s="7">
        <f t="shared" si="2"/>
        <v>31</v>
      </c>
      <c r="H25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5" s="3">
        <f>IF(ISNUMBER(明細表[[#This Row],[年齡]]),IF(明細表[[#This Row],[年齡]]&gt;=退休年齡-1,VLOOKUP(明細表[[#This Row],[年齡]]+1,費用需求表[],5,1),0),"")</f>
        <v>0</v>
      </c>
      <c r="J25" s="6">
        <f>IF(ISNUMBER(明細表[[#This Row],[年齡]]),IF(明細表[[#This Row],[年齡]]&gt;=退休年齡,退休後投資報酬率,退休前投資報酬率),"")</f>
        <v>8.5000000000000006E-2</v>
      </c>
      <c r="K25" s="3">
        <f>IF(ISNUMBER(明細表[[#This Row],[年齡]]),L24*明細表[[#This Row],[投資報酬率]],"")</f>
        <v>71906.761246285154</v>
      </c>
      <c r="L25" s="3">
        <f>IF(ISNUMBER(明細表[[#This Row],[年齡]]),L24+明細表[[#This Row],[投入金額]]+明細表[[#This Row],[收益]]-明細表[[#This Row],[支出金額]],"")</f>
        <v>987819.7055874411</v>
      </c>
    </row>
    <row r="26" spans="1:15" x14ac:dyDescent="0.25">
      <c r="A26" s="7">
        <f t="shared" si="1"/>
        <v>68</v>
      </c>
      <c r="B26" s="3">
        <f>IF(ISNUMBER(費用需求表[[#This Row],[年齡]]),VLOOKUP(費用需求表[[#This Row],[年齡]],階梯式費用[],2),"")</f>
        <v>600000</v>
      </c>
      <c r="C26" s="3">
        <f>IF(ISNUMBER(費用需求表[[#This Row],[年齡]]),費用需求表[[#This Row],[費用現值]]*(1+通貨膨脹率)^(費用需求表[[#This Row],[年齡]]-現在年齡),"")</f>
        <v>1405913.6132072336</v>
      </c>
      <c r="D26" s="3">
        <f>IF(ISNUMBER(費用需求表[[#This Row],[年齡]]),IF(MOD(費用需求表[[#This Row],[年齡]]-退休年齡,通膨調整年數)=0,D25*通膨調整比例,D25),"")</f>
        <v>297306.87868569593</v>
      </c>
      <c r="E26" s="3">
        <f>IF(ISNUMBER(費用需求表[[#This Row],[年齡]]),費用需求表[[#This Row],[通膨調整金額]]-費用需求表[[#This Row],[年金]],"")</f>
        <v>1108606.7345215376</v>
      </c>
      <c r="F26" s="6"/>
      <c r="G26" s="7">
        <f t="shared" si="2"/>
        <v>32</v>
      </c>
      <c r="H26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6" s="3">
        <f>IF(ISNUMBER(明細表[[#This Row],[年齡]]),IF(明細表[[#This Row],[年齡]]&gt;=退休年齡-1,VLOOKUP(明細表[[#This Row],[年齡]]+1,費用需求表[],5,1),0),"")</f>
        <v>0</v>
      </c>
      <c r="J26" s="6">
        <f>IF(ISNUMBER(明細表[[#This Row],[年齡]]),IF(明細表[[#This Row],[年齡]]&gt;=退休年齡,退休後投資報酬率,退休前投資報酬率),"")</f>
        <v>8.5000000000000006E-2</v>
      </c>
      <c r="K26" s="3">
        <f>IF(ISNUMBER(明細表[[#This Row],[年齡]]),L25*明細表[[#This Row],[投資報酬率]],"")</f>
        <v>83964.674974932495</v>
      </c>
      <c r="L26" s="3">
        <f>IF(ISNUMBER(明細表[[#This Row],[年齡]]),L25+明細表[[#This Row],[投入金額]]+明細表[[#This Row],[收益]]-明細表[[#This Row],[支出金額]],"")</f>
        <v>1141735.4278884102</v>
      </c>
    </row>
    <row r="27" spans="1:15" x14ac:dyDescent="0.25">
      <c r="A27" s="7">
        <f t="shared" si="1"/>
        <v>69</v>
      </c>
      <c r="B27" s="3">
        <f>IF(ISNUMBER(費用需求表[[#This Row],[年齡]]),VLOOKUP(費用需求表[[#This Row],[年齡]],階梯式費用[],2),"")</f>
        <v>600000</v>
      </c>
      <c r="C27" s="3">
        <f>IF(ISNUMBER(費用需求表[[#This Row],[年齡]]),費用需求表[[#This Row],[費用現值]]*(1+通貨膨脹率)^(費用需求表[[#This Row],[年齡]]-現在年齡),"")</f>
        <v>1434031.8854713785</v>
      </c>
      <c r="D27" s="3">
        <f>IF(ISNUMBER(費用需求表[[#This Row],[年齡]]),IF(MOD(費用需求表[[#This Row],[年齡]]-退休年齡,通膨調整年數)=0,D26*通膨調整比例,D26),"")</f>
        <v>315504.43811628997</v>
      </c>
      <c r="E27" s="3">
        <f>IF(ISNUMBER(費用需求表[[#This Row],[年齡]]),費用需求表[[#This Row],[通膨調整金額]]-費用需求表[[#This Row],[年金]],"")</f>
        <v>1118527.4473550885</v>
      </c>
      <c r="F27" s="6"/>
      <c r="G27" s="7">
        <f t="shared" si="2"/>
        <v>33</v>
      </c>
      <c r="H27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7" s="3">
        <f>IF(ISNUMBER(明細表[[#This Row],[年齡]]),IF(明細表[[#This Row],[年齡]]&gt;=退休年齡-1,VLOOKUP(明細表[[#This Row],[年齡]]+1,費用需求表[],5,1),0),"")</f>
        <v>0</v>
      </c>
      <c r="J27" s="6">
        <f>IF(ISNUMBER(明細表[[#This Row],[年齡]]),IF(明細表[[#This Row],[年齡]]&gt;=退休年齡,退休後投資報酬率,退休前投資報酬率),"")</f>
        <v>8.5000000000000006E-2</v>
      </c>
      <c r="K27" s="3">
        <f>IF(ISNUMBER(明細表[[#This Row],[年齡]]),L26*明細表[[#This Row],[投資報酬率]],"")</f>
        <v>97047.511370514869</v>
      </c>
      <c r="L27" s="3">
        <f>IF(ISNUMBER(明細表[[#This Row],[年齡]]),L26+明細表[[#This Row],[投入金額]]+明細表[[#This Row],[收益]]-明細表[[#This Row],[支出金額]],"")</f>
        <v>1308733.9865849614</v>
      </c>
    </row>
    <row r="28" spans="1:15" x14ac:dyDescent="0.25">
      <c r="A28" s="7">
        <f t="shared" si="1"/>
        <v>70</v>
      </c>
      <c r="B28" s="3">
        <f>IF(ISNUMBER(費用需求表[[#This Row],[年齡]]),VLOOKUP(費用需求表[[#This Row],[年齡]],階梯式費用[],2),"")</f>
        <v>480000</v>
      </c>
      <c r="C28" s="3">
        <f>IF(ISNUMBER(費用需求表[[#This Row],[年齡]]),費用需求表[[#This Row],[費用現值]]*(1+通貨膨脹率)^(費用需求表[[#This Row],[年齡]]-現在年齡),"")</f>
        <v>1170170.0185446448</v>
      </c>
      <c r="D28" s="3">
        <f>IF(ISNUMBER(費用需求表[[#This Row],[年齡]]),IF(MOD(費用需求表[[#This Row],[年齡]]-退休年齡,通膨調整年數)=0,D27*通膨調整比例,D27),"")</f>
        <v>315504.43811628997</v>
      </c>
      <c r="E28" s="3">
        <f>IF(ISNUMBER(費用需求表[[#This Row],[年齡]]),費用需求表[[#This Row],[通膨調整金額]]-費用需求表[[#This Row],[年金]],"")</f>
        <v>854665.58042835491</v>
      </c>
      <c r="F28" s="6"/>
      <c r="G28" s="7">
        <f t="shared" si="2"/>
        <v>34</v>
      </c>
      <c r="H28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8" s="3">
        <f>IF(ISNUMBER(明細表[[#This Row],[年齡]]),IF(明細表[[#This Row],[年齡]]&gt;=退休年齡-1,VLOOKUP(明細表[[#This Row],[年齡]]+1,費用需求表[],5,1),0),"")</f>
        <v>0</v>
      </c>
      <c r="J28" s="6">
        <f>IF(ISNUMBER(明細表[[#This Row],[年齡]]),IF(明細表[[#This Row],[年齡]]&gt;=退休年齡,退休後投資報酬率,退休前投資報酬率),"")</f>
        <v>8.5000000000000006E-2</v>
      </c>
      <c r="K28" s="3">
        <f>IF(ISNUMBER(明細表[[#This Row],[年齡]]),L27*明細表[[#This Row],[投資報酬率]],"")</f>
        <v>111242.38885972173</v>
      </c>
      <c r="L28" s="3">
        <f>IF(ISNUMBER(明細表[[#This Row],[年齡]]),L27+明細表[[#This Row],[投入金額]]+明細表[[#This Row],[收益]]-明細表[[#This Row],[支出金額]],"")</f>
        <v>1489927.4227707197</v>
      </c>
    </row>
    <row r="29" spans="1:15" x14ac:dyDescent="0.25">
      <c r="A29" s="7">
        <f t="shared" si="1"/>
        <v>71</v>
      </c>
      <c r="B29" s="3">
        <f>IF(ISNUMBER(費用需求表[[#This Row],[年齡]]),VLOOKUP(費用需求表[[#This Row],[年齡]],階梯式費用[],2),"")</f>
        <v>480000</v>
      </c>
      <c r="C29" s="3">
        <f>IF(ISNUMBER(費用需求表[[#This Row],[年齡]]),費用需求表[[#This Row],[費用現值]]*(1+通貨膨脹率)^(費用需求表[[#This Row],[年齡]]-現在年齡),"")</f>
        <v>1193573.4189155379</v>
      </c>
      <c r="D29" s="3">
        <f>IF(ISNUMBER(費用需求表[[#This Row],[年齡]]),IF(MOD(費用需求表[[#This Row],[年齡]]-退休年齡,通膨調整年數)=0,D28*通膨調整比例,D28),"")</f>
        <v>315504.43811628997</v>
      </c>
      <c r="E29" s="3">
        <f>IF(ISNUMBER(費用需求表[[#This Row],[年齡]]),費用需求表[[#This Row],[通膨調整金額]]-費用需求表[[#This Row],[年金]],"")</f>
        <v>878068.98079924798</v>
      </c>
      <c r="F29" s="6"/>
      <c r="G29" s="7">
        <f t="shared" si="2"/>
        <v>35</v>
      </c>
      <c r="H29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29" s="3">
        <f>IF(ISNUMBER(明細表[[#This Row],[年齡]]),IF(明細表[[#This Row],[年齡]]&gt;=退休年齡-1,VLOOKUP(明細表[[#This Row],[年齡]]+1,費用需求表[],5,1),0),"")</f>
        <v>0</v>
      </c>
      <c r="J29" s="6">
        <f>IF(ISNUMBER(明細表[[#This Row],[年齡]]),IF(明細表[[#This Row],[年齡]]&gt;=退休年齡,退休後投資報酬率,退休前投資報酬率),"")</f>
        <v>8.5000000000000006E-2</v>
      </c>
      <c r="K29" s="3">
        <f>IF(ISNUMBER(明細表[[#This Row],[年齡]]),L28*明細表[[#This Row],[投資報酬率]],"")</f>
        <v>126643.83093551119</v>
      </c>
      <c r="L29" s="3">
        <f>IF(ISNUMBER(明細表[[#This Row],[年齡]]),L28+明細表[[#This Row],[投入金額]]+明細表[[#This Row],[收益]]-明細表[[#This Row],[支出金額]],"")</f>
        <v>1686522.3010322675</v>
      </c>
    </row>
    <row r="30" spans="1:15" x14ac:dyDescent="0.25">
      <c r="A30" s="7">
        <f t="shared" si="1"/>
        <v>72</v>
      </c>
      <c r="B30" s="3">
        <f>IF(ISNUMBER(費用需求表[[#This Row],[年齡]]),VLOOKUP(費用需求表[[#This Row],[年齡]],階梯式費用[],2),"")</f>
        <v>480000</v>
      </c>
      <c r="C30" s="3">
        <f>IF(ISNUMBER(費用需求表[[#This Row],[年齡]]),費用需求表[[#This Row],[費用現值]]*(1+通貨膨脹率)^(費用需求表[[#This Row],[年齡]]-現在年齡),"")</f>
        <v>1217444.8872938482</v>
      </c>
      <c r="D30" s="3">
        <f>IF(ISNUMBER(費用需求表[[#This Row],[年齡]]),IF(MOD(費用需求表[[#This Row],[年齡]]-退休年齡,通膨調整年數)=0,D29*通膨調整比例,D29),"")</f>
        <v>334815.8337645118</v>
      </c>
      <c r="E30" s="3">
        <f>IF(ISNUMBER(費用需求表[[#This Row],[年齡]]),費用需求表[[#This Row],[通膨調整金額]]-費用需求表[[#This Row],[年金]],"")</f>
        <v>882629.05352933635</v>
      </c>
      <c r="F30" s="6"/>
      <c r="G30" s="7">
        <f t="shared" si="2"/>
        <v>36</v>
      </c>
      <c r="H30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0" s="3">
        <f>IF(ISNUMBER(明細表[[#This Row],[年齡]]),IF(明細表[[#This Row],[年齡]]&gt;=退休年齡-1,VLOOKUP(明細表[[#This Row],[年齡]]+1,費用需求表[],5,1),0),"")</f>
        <v>0</v>
      </c>
      <c r="J30" s="6">
        <f>IF(ISNUMBER(明細表[[#This Row],[年齡]]),IF(明細表[[#This Row],[年齡]]&gt;=退休年齡,退休後投資報酬率,退休前投資報酬率),"")</f>
        <v>8.5000000000000006E-2</v>
      </c>
      <c r="K30" s="3">
        <f>IF(ISNUMBER(明細表[[#This Row],[年齡]]),L29*明細表[[#This Row],[投資報酬率]],"")</f>
        <v>143354.39558774274</v>
      </c>
      <c r="L30" s="3">
        <f>IF(ISNUMBER(明細表[[#This Row],[年齡]]),L29+明細表[[#This Row],[投入金額]]+明細表[[#This Row],[收益]]-明細表[[#This Row],[支出金額]],"")</f>
        <v>1899827.7439460468</v>
      </c>
    </row>
    <row r="31" spans="1:15" x14ac:dyDescent="0.25">
      <c r="A31" s="7">
        <f t="shared" si="1"/>
        <v>73</v>
      </c>
      <c r="B31" s="3">
        <f>IF(ISNUMBER(費用需求表[[#This Row],[年齡]]),VLOOKUP(費用需求表[[#This Row],[年齡]],階梯式費用[],2),"")</f>
        <v>480000</v>
      </c>
      <c r="C31" s="3">
        <f>IF(ISNUMBER(費用需求表[[#This Row],[年齡]]),費用需求表[[#This Row],[費用現值]]*(1+通貨膨脹率)^(費用需求表[[#This Row],[年齡]]-現在年齡),"")</f>
        <v>1241793.7850397252</v>
      </c>
      <c r="D31" s="3">
        <f>IF(ISNUMBER(費用需求表[[#This Row],[年齡]]),IF(MOD(費用需求表[[#This Row],[年齡]]-退休年齡,通膨調整年數)=0,D30*通膨調整比例,D30),"")</f>
        <v>334815.8337645118</v>
      </c>
      <c r="E31" s="3">
        <f>IF(ISNUMBER(費用需求表[[#This Row],[年齡]]),費用需求表[[#This Row],[通膨調整金額]]-費用需求表[[#This Row],[年金]],"")</f>
        <v>906977.95127521339</v>
      </c>
      <c r="F31" s="6"/>
      <c r="G31" s="7">
        <f t="shared" si="2"/>
        <v>37</v>
      </c>
      <c r="H31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1" s="3">
        <f>IF(ISNUMBER(明細表[[#This Row],[年齡]]),IF(明細表[[#This Row],[年齡]]&gt;=退休年齡-1,VLOOKUP(明細表[[#This Row],[年齡]]+1,費用需求表[],5,1),0),"")</f>
        <v>0</v>
      </c>
      <c r="J31" s="6">
        <f>IF(ISNUMBER(明細表[[#This Row],[年齡]]),IF(明細表[[#This Row],[年齡]]&gt;=退休年齡,退休後投資報酬率,退休前投資報酬率),"")</f>
        <v>8.5000000000000006E-2</v>
      </c>
      <c r="K31" s="3">
        <f>IF(ISNUMBER(明細表[[#This Row],[年齡]]),L30*明細表[[#This Row],[投資報酬率]],"")</f>
        <v>161485.35823541399</v>
      </c>
      <c r="L31" s="3">
        <f>IF(ISNUMBER(明細表[[#This Row],[年齡]]),L30+明細表[[#This Row],[投入金額]]+明細表[[#This Row],[收益]]-明細表[[#This Row],[支出金額]],"")</f>
        <v>2131264.1495074974</v>
      </c>
    </row>
    <row r="32" spans="1:15" x14ac:dyDescent="0.25">
      <c r="A32" s="7">
        <f t="shared" si="1"/>
        <v>74</v>
      </c>
      <c r="B32" s="3">
        <f>IF(ISNUMBER(費用需求表[[#This Row],[年齡]]),VLOOKUP(費用需求表[[#This Row],[年齡]],階梯式費用[],2),"")</f>
        <v>480000</v>
      </c>
      <c r="C32" s="3">
        <f>IF(ISNUMBER(費用需求表[[#This Row],[年齡]]),費用需求表[[#This Row],[費用現值]]*(1+通貨膨脹率)^(費用需求表[[#This Row],[年齡]]-現在年齡),"")</f>
        <v>1266629.6607405199</v>
      </c>
      <c r="D32" s="3">
        <f>IF(ISNUMBER(費用需求表[[#This Row],[年齡]]),IF(MOD(費用需求表[[#This Row],[年齡]]-退休年齡,通膨調整年數)=0,D31*通膨調整比例,D31),"")</f>
        <v>334815.8337645118</v>
      </c>
      <c r="E32" s="3">
        <f>IF(ISNUMBER(費用需求表[[#This Row],[年齡]]),費用需求表[[#This Row],[通膨調整金額]]-費用需求表[[#This Row],[年金]],"")</f>
        <v>931813.82697600801</v>
      </c>
      <c r="F32" s="6"/>
      <c r="G32" s="7">
        <f t="shared" si="2"/>
        <v>38</v>
      </c>
      <c r="H32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2" s="3">
        <f>IF(ISNUMBER(明細表[[#This Row],[年齡]]),IF(明細表[[#This Row],[年齡]]&gt;=退休年齡-1,VLOOKUP(明細表[[#This Row],[年齡]]+1,費用需求表[],5,1),0),"")</f>
        <v>0</v>
      </c>
      <c r="J32" s="6">
        <f>IF(ISNUMBER(明細表[[#This Row],[年齡]]),IF(明細表[[#This Row],[年齡]]&gt;=退休年齡,退休後投資報酬率,退休前投資報酬率),"")</f>
        <v>8.5000000000000006E-2</v>
      </c>
      <c r="K32" s="3">
        <f>IF(ISNUMBER(明細表[[#This Row],[年齡]]),L31*明細表[[#This Row],[投資報酬率]],"")</f>
        <v>181157.45270813731</v>
      </c>
      <c r="L32" s="3">
        <f>IF(ISNUMBER(明細表[[#This Row],[年齡]]),L31+明細表[[#This Row],[投入金額]]+明細表[[#This Row],[收益]]-明細表[[#This Row],[支出金額]],"")</f>
        <v>2382372.6495416709</v>
      </c>
    </row>
    <row r="33" spans="1:12" x14ac:dyDescent="0.25">
      <c r="A33" s="7">
        <f t="shared" si="1"/>
        <v>75</v>
      </c>
      <c r="B33" s="3">
        <f>IF(ISNUMBER(費用需求表[[#This Row],[年齡]]),VLOOKUP(費用需求表[[#This Row],[年齡]],階梯式費用[],2),"")</f>
        <v>480000</v>
      </c>
      <c r="C33" s="3">
        <f>IF(ISNUMBER(費用需求表[[#This Row],[年齡]]),費用需求表[[#This Row],[費用現值]]*(1+通貨膨脹率)^(費用需求表[[#This Row],[年齡]]-現在年齡),"")</f>
        <v>1291962.2539553302</v>
      </c>
      <c r="D33" s="3">
        <f>IF(ISNUMBER(費用需求表[[#This Row],[年齡]]),IF(MOD(費用需求表[[#This Row],[年齡]]-退休年齡,通膨調整年數)=0,D32*通膨調整比例,D32),"")</f>
        <v>355309.24131757003</v>
      </c>
      <c r="E33" s="3">
        <f>IF(ISNUMBER(費用需求表[[#This Row],[年齡]]),費用需求表[[#This Row],[通膨調整金額]]-費用需求表[[#This Row],[年金]],"")</f>
        <v>936653.01263776026</v>
      </c>
      <c r="F33" s="6"/>
      <c r="G33" s="7">
        <f t="shared" si="2"/>
        <v>39</v>
      </c>
      <c r="H33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3" s="3">
        <f>IF(ISNUMBER(明細表[[#This Row],[年齡]]),IF(明細表[[#This Row],[年齡]]&gt;=退休年齡-1,VLOOKUP(明細表[[#This Row],[年齡]]+1,費用需求表[],5,1),0),"")</f>
        <v>0</v>
      </c>
      <c r="J33" s="6">
        <f>IF(ISNUMBER(明細表[[#This Row],[年齡]]),IF(明細表[[#This Row],[年齡]]&gt;=退休年齡,退休後投資報酬率,退休前投資報酬率),"")</f>
        <v>8.5000000000000006E-2</v>
      </c>
      <c r="K33" s="3">
        <f>IF(ISNUMBER(明細表[[#This Row],[年齡]]),L32*明細表[[#This Row],[投資報酬率]],"")</f>
        <v>202501.67521104205</v>
      </c>
      <c r="L33" s="3">
        <f>IF(ISNUMBER(明細表[[#This Row],[年齡]]),L32+明細表[[#This Row],[投入金額]]+明細表[[#This Row],[收益]]-明細表[[#This Row],[支出金額]],"")</f>
        <v>2654825.3720787494</v>
      </c>
    </row>
    <row r="34" spans="1:12" x14ac:dyDescent="0.25">
      <c r="A34" s="7">
        <f t="shared" si="1"/>
        <v>76</v>
      </c>
      <c r="B34" s="3">
        <f>IF(ISNUMBER(費用需求表[[#This Row],[年齡]]),VLOOKUP(費用需求表[[#This Row],[年齡]],階梯式費用[],2),"")</f>
        <v>480000</v>
      </c>
      <c r="C34" s="3">
        <f>IF(ISNUMBER(費用需求表[[#This Row],[年齡]]),費用需求表[[#This Row],[費用現值]]*(1+通貨膨脹率)^(費用需求表[[#This Row],[年齡]]-現在年齡),"")</f>
        <v>1317801.4990344367</v>
      </c>
      <c r="D34" s="3">
        <f>IF(ISNUMBER(費用需求表[[#This Row],[年齡]]),IF(MOD(費用需求表[[#This Row],[年齡]]-退休年齡,通膨調整年數)=0,D33*通膨調整比例,D33),"")</f>
        <v>355309.24131757003</v>
      </c>
      <c r="E34" s="3">
        <f>IF(ISNUMBER(費用需求表[[#This Row],[年齡]]),費用需求表[[#This Row],[通膨調整金額]]-費用需求表[[#This Row],[年金]],"")</f>
        <v>962492.25771686668</v>
      </c>
      <c r="F34" s="6"/>
      <c r="G34" s="7">
        <f t="shared" si="2"/>
        <v>40</v>
      </c>
      <c r="H34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4" s="3">
        <f>IF(ISNUMBER(明細表[[#This Row],[年齡]]),IF(明細表[[#This Row],[年齡]]&gt;=退休年齡-1,VLOOKUP(明細表[[#This Row],[年齡]]+1,費用需求表[],5,1),0),"")</f>
        <v>0</v>
      </c>
      <c r="J34" s="6">
        <f>IF(ISNUMBER(明細表[[#This Row],[年齡]]),IF(明細表[[#This Row],[年齡]]&gt;=退休年齡,退休後投資報酬率,退休前投資報酬率),"")</f>
        <v>8.5000000000000006E-2</v>
      </c>
      <c r="K34" s="3">
        <f>IF(ISNUMBER(明細表[[#This Row],[年齡]]),L33*明細表[[#This Row],[投資報酬率]],"")</f>
        <v>225660.1566266937</v>
      </c>
      <c r="L34" s="3">
        <f>IF(ISNUMBER(明細表[[#This Row],[年齡]]),L33+明細表[[#This Row],[投入金額]]+明細表[[#This Row],[收益]]-明細表[[#This Row],[支出金額]],"")</f>
        <v>2950436.5760314795</v>
      </c>
    </row>
    <row r="35" spans="1:12" x14ac:dyDescent="0.25">
      <c r="A35" s="7">
        <f t="shared" si="1"/>
        <v>77</v>
      </c>
      <c r="B35" s="3">
        <f>IF(ISNUMBER(費用需求表[[#This Row],[年齡]]),VLOOKUP(費用需求表[[#This Row],[年齡]],階梯式費用[],2),"")</f>
        <v>480000</v>
      </c>
      <c r="C35" s="3">
        <f>IF(ISNUMBER(費用需求表[[#This Row],[年齡]]),費用需求表[[#This Row],[費用現值]]*(1+通貨膨脹率)^(費用需求表[[#This Row],[年齡]]-現在年齡),"")</f>
        <v>1344157.5290151257</v>
      </c>
      <c r="D35" s="3">
        <f>IF(ISNUMBER(費用需求表[[#This Row],[年齡]]),IF(MOD(費用需求表[[#This Row],[年齡]]-退休年齡,通膨調整年數)=0,D34*通膨調整比例,D34),"")</f>
        <v>355309.24131757003</v>
      </c>
      <c r="E35" s="3">
        <f>IF(ISNUMBER(費用需求表[[#This Row],[年齡]]),費用需求表[[#This Row],[通膨調整金額]]-費用需求表[[#This Row],[年金]],"")</f>
        <v>988848.28769755573</v>
      </c>
      <c r="F35" s="6"/>
      <c r="G35" s="7">
        <f t="shared" si="2"/>
        <v>41</v>
      </c>
      <c r="H35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5" s="3">
        <f>IF(ISNUMBER(明細表[[#This Row],[年齡]]),IF(明細表[[#This Row],[年齡]]&gt;=退休年齡-1,VLOOKUP(明細表[[#This Row],[年齡]]+1,費用需求表[],5,1),0),"")</f>
        <v>0</v>
      </c>
      <c r="J35" s="6">
        <f>IF(ISNUMBER(明細表[[#This Row],[年齡]]),IF(明細表[[#This Row],[年齡]]&gt;=退休年齡,退休後投資報酬率,退休前投資報酬率),"")</f>
        <v>8.5000000000000006E-2</v>
      </c>
      <c r="K35" s="3">
        <f>IF(ISNUMBER(明細表[[#This Row],[年齡]]),L34*明細表[[#This Row],[投資報酬率]],"")</f>
        <v>250787.10896267579</v>
      </c>
      <c r="L35" s="3">
        <f>IF(ISNUMBER(明細表[[#This Row],[年齡]]),L34+明細表[[#This Row],[投入金額]]+明細表[[#This Row],[收益]]-明細表[[#This Row],[支出金額]],"")</f>
        <v>3271174.7323201913</v>
      </c>
    </row>
    <row r="36" spans="1:12" x14ac:dyDescent="0.25">
      <c r="A36" s="7">
        <f t="shared" si="1"/>
        <v>78</v>
      </c>
      <c r="B36" s="3">
        <f>IF(ISNUMBER(費用需求表[[#This Row],[年齡]]),VLOOKUP(費用需求表[[#This Row],[年齡]],階梯式費用[],2),"")</f>
        <v>480000</v>
      </c>
      <c r="C36" s="3">
        <f>IF(ISNUMBER(費用需求表[[#This Row],[年齡]]),費用需求表[[#This Row],[費用現值]]*(1+通貨膨脹率)^(費用需求表[[#This Row],[年齡]]-現在年齡),"")</f>
        <v>1371040.6795954281</v>
      </c>
      <c r="D36" s="3">
        <f>IF(ISNUMBER(費用需求表[[#This Row],[年齡]]),IF(MOD(費用需求表[[#This Row],[年齡]]-退休年齡,通膨調整年數)=0,D35*通膨調整比例,D35),"")</f>
        <v>377057.00936013582</v>
      </c>
      <c r="E36" s="3">
        <f>IF(ISNUMBER(費用需求表[[#This Row],[年齡]]),費用需求表[[#This Row],[通膨調整金額]]-費用需求表[[#This Row],[年金]],"")</f>
        <v>993983.67023529229</v>
      </c>
      <c r="F36" s="6"/>
      <c r="G36" s="7">
        <f t="shared" si="2"/>
        <v>42</v>
      </c>
      <c r="H36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6" s="3">
        <f>IF(ISNUMBER(明細表[[#This Row],[年齡]]),IF(明細表[[#This Row],[年齡]]&gt;=退休年齡-1,VLOOKUP(明細表[[#This Row],[年齡]]+1,費用需求表[],5,1),0),"")</f>
        <v>0</v>
      </c>
      <c r="J36" s="6">
        <f>IF(ISNUMBER(明細表[[#This Row],[年齡]]),IF(明細表[[#This Row],[年齡]]&gt;=退休年齡,退休後投資報酬率,退休前投資報酬率),"")</f>
        <v>8.5000000000000006E-2</v>
      </c>
      <c r="K36" s="3">
        <f>IF(ISNUMBER(明細表[[#This Row],[年齡]]),L35*明細表[[#This Row],[投資報酬率]],"")</f>
        <v>278049.85224721627</v>
      </c>
      <c r="L36" s="3">
        <f>IF(ISNUMBER(明細表[[#This Row],[年齡]]),L35+明細表[[#This Row],[投入金額]]+明細表[[#This Row],[收益]]-明細表[[#This Row],[支出金額]],"")</f>
        <v>3619175.6318934439</v>
      </c>
    </row>
    <row r="37" spans="1:12" x14ac:dyDescent="0.25">
      <c r="A37" s="7">
        <f t="shared" si="1"/>
        <v>79</v>
      </c>
      <c r="B37" s="3">
        <f>IF(ISNUMBER(費用需求表[[#This Row],[年齡]]),VLOOKUP(費用需求表[[#This Row],[年齡]],階梯式費用[],2),"")</f>
        <v>480000</v>
      </c>
      <c r="C37" s="3">
        <f>IF(ISNUMBER(費用需求表[[#This Row],[年齡]]),費用需求表[[#This Row],[費用現值]]*(1+通貨膨脹率)^(費用需求表[[#This Row],[年齡]]-現在年齡),"")</f>
        <v>1398461.4931873367</v>
      </c>
      <c r="D37" s="3">
        <f>IF(ISNUMBER(費用需求表[[#This Row],[年齡]]),IF(MOD(費用需求表[[#This Row],[年齡]]-退休年齡,通膨調整年數)=0,D36*通膨調整比例,D36),"")</f>
        <v>377057.00936013582</v>
      </c>
      <c r="E37" s="3">
        <f>IF(ISNUMBER(費用需求表[[#This Row],[年齡]]),費用需求表[[#This Row],[通膨調整金額]]-費用需求表[[#This Row],[年金]],"")</f>
        <v>1021404.483827201</v>
      </c>
      <c r="F37" s="6"/>
      <c r="G37" s="7">
        <f t="shared" si="2"/>
        <v>43</v>
      </c>
      <c r="H37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7" s="3">
        <f>IF(ISNUMBER(明細表[[#This Row],[年齡]]),IF(明細表[[#This Row],[年齡]]&gt;=退休年齡-1,VLOOKUP(明細表[[#This Row],[年齡]]+1,費用需求表[],5,1),0),"")</f>
        <v>0</v>
      </c>
      <c r="J37" s="6">
        <f>IF(ISNUMBER(明細表[[#This Row],[年齡]]),IF(明細表[[#This Row],[年齡]]&gt;=退休年齡,退休後投資報酬率,退休前投資報酬率),"")</f>
        <v>8.5000000000000006E-2</v>
      </c>
      <c r="K37" s="3">
        <f>IF(ISNUMBER(明細表[[#This Row],[年齡]]),L36*明細表[[#This Row],[投資報酬率]],"")</f>
        <v>307629.92871094274</v>
      </c>
      <c r="L37" s="3">
        <f>IF(ISNUMBER(明細表[[#This Row],[年齡]]),L36+明細表[[#This Row],[投入金額]]+明細表[[#This Row],[收益]]-明細表[[#This Row],[支出金額]],"")</f>
        <v>3996756.6079304228</v>
      </c>
    </row>
    <row r="38" spans="1:12" x14ac:dyDescent="0.25">
      <c r="A38" s="7">
        <f t="shared" si="1"/>
        <v>80</v>
      </c>
      <c r="B38" s="3">
        <f>IF(ISNUMBER(費用需求表[[#This Row],[年齡]]),VLOOKUP(費用需求表[[#This Row],[年齡]],階梯式費用[],2),"")</f>
        <v>384000</v>
      </c>
      <c r="C38" s="3">
        <f>IF(ISNUMBER(費用需求表[[#This Row],[年齡]]),費用需求表[[#This Row],[費用現值]]*(1+通貨膨脹率)^(費用需求表[[#This Row],[年齡]]-現在年齡),"")</f>
        <v>1141144.5784408664</v>
      </c>
      <c r="D38" s="3">
        <f>IF(ISNUMBER(費用需求表[[#This Row],[年齡]]),IF(MOD(費用需求表[[#This Row],[年齡]]-退休年齡,通膨調整年數)=0,D37*通膨調整比例,D37),"")</f>
        <v>377057.00936013582</v>
      </c>
      <c r="E38" s="3">
        <f>IF(ISNUMBER(費用需求表[[#This Row],[年齡]]),費用需求表[[#This Row],[通膨調整金額]]-費用需求表[[#This Row],[年金]],"")</f>
        <v>764087.56908073067</v>
      </c>
      <c r="F38" s="6"/>
      <c r="G38" s="7">
        <f t="shared" si="2"/>
        <v>44</v>
      </c>
      <c r="H38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8" s="3">
        <f>IF(ISNUMBER(明細表[[#This Row],[年齡]]),IF(明細表[[#This Row],[年齡]]&gt;=退休年齡-1,VLOOKUP(明細表[[#This Row],[年齡]]+1,費用需求表[],5,1),0),"")</f>
        <v>0</v>
      </c>
      <c r="J38" s="6">
        <f>IF(ISNUMBER(明細表[[#This Row],[年齡]]),IF(明細表[[#This Row],[年齡]]&gt;=退休年齡,退休後投資報酬率,退休前投資報酬率),"")</f>
        <v>8.5000000000000006E-2</v>
      </c>
      <c r="K38" s="3">
        <f>IF(ISNUMBER(明細表[[#This Row],[年齡]]),L37*明細表[[#This Row],[投資報酬率]],"")</f>
        <v>339724.31167408597</v>
      </c>
      <c r="L38" s="3">
        <f>IF(ISNUMBER(明細表[[#This Row],[年齡]]),L37+明細表[[#This Row],[投入金額]]+明細表[[#This Row],[收益]]-明細表[[#This Row],[支出金額]],"")</f>
        <v>4406431.9669305449</v>
      </c>
    </row>
    <row r="39" spans="1:12" x14ac:dyDescent="0.25">
      <c r="A39" s="7">
        <f t="shared" si="1"/>
        <v>81</v>
      </c>
      <c r="B39" s="3">
        <f>IF(ISNUMBER(費用需求表[[#This Row],[年齡]]),VLOOKUP(費用需求表[[#This Row],[年齡]],階梯式費用[],2),"")</f>
        <v>384000</v>
      </c>
      <c r="C39" s="3">
        <f>IF(ISNUMBER(費用需求表[[#This Row],[年齡]]),費用需求表[[#This Row],[費用現值]]*(1+通貨膨脹率)^(費用需求表[[#This Row],[年齡]]-現在年齡),"")</f>
        <v>1163967.4700096839</v>
      </c>
      <c r="D39" s="3">
        <f>IF(ISNUMBER(費用需求表[[#This Row],[年齡]]),IF(MOD(費用需求表[[#This Row],[年齡]]-退休年齡,通膨調整年數)=0,D38*通膨調整比例,D38),"")</f>
        <v>400135.91478905099</v>
      </c>
      <c r="E39" s="3">
        <f>IF(ISNUMBER(費用需求表[[#This Row],[年齡]]),費用需求表[[#This Row],[通膨調整金額]]-費用需求表[[#This Row],[年金]],"")</f>
        <v>763831.55522063281</v>
      </c>
      <c r="F39" s="6"/>
      <c r="G39" s="7">
        <f t="shared" si="2"/>
        <v>45</v>
      </c>
      <c r="H39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39" s="3">
        <f>IF(ISNUMBER(明細表[[#This Row],[年齡]]),IF(明細表[[#This Row],[年齡]]&gt;=退休年齡-1,VLOOKUP(明細表[[#This Row],[年齡]]+1,費用需求表[],5,1),0),"")</f>
        <v>0</v>
      </c>
      <c r="J39" s="6">
        <f>IF(ISNUMBER(明細表[[#This Row],[年齡]]),IF(明細表[[#This Row],[年齡]]&gt;=退休年齡,退休後投資報酬率,退休前投資報酬率),"")</f>
        <v>8.5000000000000006E-2</v>
      </c>
      <c r="K39" s="3">
        <f>IF(ISNUMBER(明細表[[#This Row],[年齡]]),L38*明細表[[#This Row],[投資報酬率]],"")</f>
        <v>374546.71718909632</v>
      </c>
      <c r="L39" s="3">
        <f>IF(ISNUMBER(明細表[[#This Row],[年齡]]),L38+明細表[[#This Row],[投入金額]]+明細表[[#This Row],[收益]]-明細表[[#This Row],[支出金額]],"")</f>
        <v>4850929.7314456776</v>
      </c>
    </row>
    <row r="40" spans="1:12" x14ac:dyDescent="0.25">
      <c r="A40" s="7">
        <f t="shared" si="1"/>
        <v>82</v>
      </c>
      <c r="B40" s="3">
        <f>IF(ISNUMBER(費用需求表[[#This Row],[年齡]]),VLOOKUP(費用需求表[[#This Row],[年齡]],階梯式費用[],2),"")</f>
        <v>384000</v>
      </c>
      <c r="C40" s="3">
        <f>IF(ISNUMBER(費用需求表[[#This Row],[年齡]]),費用需求表[[#This Row],[費用現值]]*(1+通貨膨脹率)^(費用需求表[[#This Row],[年齡]]-現在年齡),"")</f>
        <v>1187246.8194098775</v>
      </c>
      <c r="D40" s="3">
        <f>IF(ISNUMBER(費用需求表[[#This Row],[年齡]]),IF(MOD(費用需求表[[#This Row],[年齡]]-退休年齡,通膨調整年數)=0,D39*通膨調整比例,D39),"")</f>
        <v>400135.91478905099</v>
      </c>
      <c r="E40" s="3">
        <f>IF(ISNUMBER(費用需求表[[#This Row],[年齡]]),費用需求表[[#This Row],[通膨調整金額]]-費用需求表[[#This Row],[年金]],"")</f>
        <v>787110.90462082648</v>
      </c>
      <c r="F40" s="6"/>
      <c r="G40" s="7">
        <f t="shared" si="2"/>
        <v>46</v>
      </c>
      <c r="H40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0" s="3">
        <f>IF(ISNUMBER(明細表[[#This Row],[年齡]]),IF(明細表[[#This Row],[年齡]]&gt;=退休年齡-1,VLOOKUP(明細表[[#This Row],[年齡]]+1,費用需求表[],5,1),0),"")</f>
        <v>0</v>
      </c>
      <c r="J40" s="6">
        <f>IF(ISNUMBER(明細表[[#This Row],[年齡]]),IF(明細表[[#This Row],[年齡]]&gt;=退休年齡,退休後投資報酬率,退休前投資報酬率),"")</f>
        <v>8.5000000000000006E-2</v>
      </c>
      <c r="K40" s="3">
        <f>IF(ISNUMBER(明細表[[#This Row],[年齡]]),L39*明細表[[#This Row],[投資報酬率]],"")</f>
        <v>412329.02717288263</v>
      </c>
      <c r="L40" s="3">
        <f>IF(ISNUMBER(明細表[[#This Row],[年齡]]),L39+明細表[[#This Row],[投入金額]]+明細表[[#This Row],[收益]]-明細表[[#This Row],[支出金額]],"")</f>
        <v>5333209.8059445973</v>
      </c>
    </row>
    <row r="41" spans="1:12" x14ac:dyDescent="0.25">
      <c r="A41" s="7">
        <f t="shared" si="1"/>
        <v>83</v>
      </c>
      <c r="B41" s="3">
        <f>IF(ISNUMBER(費用需求表[[#This Row],[年齡]]),VLOOKUP(費用需求表[[#This Row],[年齡]],階梯式費用[],2),"")</f>
        <v>384000</v>
      </c>
      <c r="C41" s="3">
        <f>IF(ISNUMBER(費用需求表[[#This Row],[年齡]]),費用需求表[[#This Row],[費用現值]]*(1+通貨膨脹率)^(費用需求表[[#This Row],[年齡]]-現在年齡),"")</f>
        <v>1210991.7557980751</v>
      </c>
      <c r="D41" s="3">
        <f>IF(ISNUMBER(費用需求表[[#This Row],[年齡]]),IF(MOD(費用需求表[[#This Row],[年齡]]-退休年齡,通膨調整年數)=0,D40*通膨調整比例,D40),"")</f>
        <v>400135.91478905099</v>
      </c>
      <c r="E41" s="3">
        <f>IF(ISNUMBER(費用需求表[[#This Row],[年齡]]),費用需求表[[#This Row],[通膨調整金額]]-費用需求表[[#This Row],[年金]],"")</f>
        <v>810855.84100902406</v>
      </c>
      <c r="F41" s="6"/>
      <c r="G41" s="7">
        <f t="shared" si="2"/>
        <v>47</v>
      </c>
      <c r="H41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1" s="3">
        <f>IF(ISNUMBER(明細表[[#This Row],[年齡]]),IF(明細表[[#This Row],[年齡]]&gt;=退休年齡-1,VLOOKUP(明細表[[#This Row],[年齡]]+1,費用需求表[],5,1),0),"")</f>
        <v>0</v>
      </c>
      <c r="J41" s="6">
        <f>IF(ISNUMBER(明細表[[#This Row],[年齡]]),IF(明細表[[#This Row],[年齡]]&gt;=退休年齡,退休後投資報酬率,退休前投資報酬率),"")</f>
        <v>8.5000000000000006E-2</v>
      </c>
      <c r="K41" s="3">
        <f>IF(ISNUMBER(明細表[[#This Row],[年齡]]),L40*明細表[[#This Row],[投資報酬率]],"")</f>
        <v>453322.83350529079</v>
      </c>
      <c r="L41" s="3">
        <f>IF(ISNUMBER(明細表[[#This Row],[年齡]]),L40+明細表[[#This Row],[投入金額]]+明細表[[#This Row],[收益]]-明細表[[#This Row],[支出金額]],"")</f>
        <v>5856483.6867759246</v>
      </c>
    </row>
    <row r="42" spans="1:12" x14ac:dyDescent="0.25">
      <c r="A42" s="7">
        <f t="shared" si="1"/>
        <v>84</v>
      </c>
      <c r="B42" s="3">
        <f>IF(ISNUMBER(費用需求表[[#This Row],[年齡]]),VLOOKUP(費用需求表[[#This Row],[年齡]],階梯式費用[],2),"")</f>
        <v>384000</v>
      </c>
      <c r="C42" s="3">
        <f>IF(ISNUMBER(費用需求表[[#This Row],[年齡]]),費用需求表[[#This Row],[費用現值]]*(1+通貨膨脹率)^(費用需求表[[#This Row],[年齡]]-現在年齡),"")</f>
        <v>1235211.5909140364</v>
      </c>
      <c r="D42" s="3">
        <f>IF(ISNUMBER(費用需求表[[#This Row],[年齡]]),IF(MOD(費用需求表[[#This Row],[年齡]]-退休年齡,通膨調整年數)=0,D41*通膨調整比例,D41),"")</f>
        <v>424627.4338614592</v>
      </c>
      <c r="E42" s="3">
        <f>IF(ISNUMBER(費用需求表[[#This Row],[年齡]]),費用需求表[[#This Row],[通膨調整金額]]-費用需求表[[#This Row],[年金]],"")</f>
        <v>810584.15705257724</v>
      </c>
      <c r="F42" s="6"/>
      <c r="G42" s="7">
        <f t="shared" si="2"/>
        <v>48</v>
      </c>
      <c r="H42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2" s="3">
        <f>IF(ISNUMBER(明細表[[#This Row],[年齡]]),IF(明細表[[#This Row],[年齡]]&gt;=退休年齡-1,VLOOKUP(明細表[[#This Row],[年齡]]+1,費用需求表[],5,1),0),"")</f>
        <v>0</v>
      </c>
      <c r="J42" s="6">
        <f>IF(ISNUMBER(明細表[[#This Row],[年齡]]),IF(明細表[[#This Row],[年齡]]&gt;=退休年齡,退休後投資報酬率,退休前投資報酬率),"")</f>
        <v>8.5000000000000006E-2</v>
      </c>
      <c r="K42" s="3">
        <f>IF(ISNUMBER(明細表[[#This Row],[年齡]]),L41*明細表[[#This Row],[投資報酬率]],"")</f>
        <v>497801.11337595363</v>
      </c>
      <c r="L42" s="3">
        <f>IF(ISNUMBER(明細表[[#This Row],[年齡]]),L41+明細表[[#This Row],[投入金額]]+明細表[[#This Row],[收益]]-明細表[[#This Row],[支出金額]],"")</f>
        <v>6424235.8474779148</v>
      </c>
    </row>
    <row r="43" spans="1:12" x14ac:dyDescent="0.25">
      <c r="A43" s="7">
        <f t="shared" si="1"/>
        <v>85</v>
      </c>
      <c r="B43" s="3">
        <f>IF(ISNUMBER(費用需求表[[#This Row],[年齡]]),VLOOKUP(費用需求表[[#This Row],[年齡]],階梯式費用[],2),"")</f>
        <v>384000</v>
      </c>
      <c r="C43" s="3">
        <f>IF(ISNUMBER(費用需求表[[#This Row],[年齡]]),費用需求表[[#This Row],[費用現值]]*(1+通貨膨脹率)^(費用需求表[[#This Row],[年齡]]-現在年齡),"")</f>
        <v>1259915.8227323175</v>
      </c>
      <c r="D43" s="3">
        <f>IF(ISNUMBER(費用需求表[[#This Row],[年齡]]),IF(MOD(費用需求表[[#This Row],[年齡]]-退休年齡,通膨調整年數)=0,D42*通膨調整比例,D42),"")</f>
        <v>424627.4338614592</v>
      </c>
      <c r="E43" s="3">
        <f>IF(ISNUMBER(費用需求表[[#This Row],[年齡]]),費用需求表[[#This Row],[通膨調整金額]]-費用需求表[[#This Row],[年金]],"")</f>
        <v>835288.38887085835</v>
      </c>
      <c r="F43" s="6"/>
      <c r="G43" s="7">
        <f t="shared" si="2"/>
        <v>49</v>
      </c>
      <c r="H43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3" s="3">
        <f>IF(ISNUMBER(明細表[[#This Row],[年齡]]),IF(明細表[[#This Row],[年齡]]&gt;=退休年齡-1,VLOOKUP(明細表[[#This Row],[年齡]]+1,費用需求表[],5,1),0),"")</f>
        <v>0</v>
      </c>
      <c r="J43" s="6">
        <f>IF(ISNUMBER(明細表[[#This Row],[年齡]]),IF(明細表[[#This Row],[年齡]]&gt;=退休年齡,退休後投資報酬率,退休前投資報酬率),"")</f>
        <v>8.5000000000000006E-2</v>
      </c>
      <c r="K43" s="3">
        <f>IF(ISNUMBER(明細表[[#This Row],[年齡]]),L42*明細表[[#This Row],[投資報酬率]],"")</f>
        <v>546060.04703562276</v>
      </c>
      <c r="L43" s="3">
        <f>IF(ISNUMBER(明細表[[#This Row],[年齡]]),L42+明細表[[#This Row],[投入金額]]+明細表[[#This Row],[收益]]-明細表[[#This Row],[支出金額]],"")</f>
        <v>7040246.9418395739</v>
      </c>
    </row>
    <row r="44" spans="1:12" x14ac:dyDescent="0.25">
      <c r="A44" s="7">
        <f t="shared" si="1"/>
        <v>86</v>
      </c>
      <c r="B44" s="3">
        <f>IF(ISNUMBER(費用需求表[[#This Row],[年齡]]),VLOOKUP(費用需求表[[#This Row],[年齡]],階梯式費用[],2),"")</f>
        <v>384000</v>
      </c>
      <c r="C44" s="3">
        <f>IF(ISNUMBER(費用需求表[[#This Row],[年齡]]),費用需求表[[#This Row],[費用現值]]*(1+通貨膨脹率)^(費用需求表[[#This Row],[年齡]]-現在年齡),"")</f>
        <v>1285114.1391869637</v>
      </c>
      <c r="D44" s="3">
        <f>IF(ISNUMBER(費用需求表[[#This Row],[年齡]]),IF(MOD(費用需求表[[#This Row],[年齡]]-退休年齡,通膨調整年數)=0,D43*通膨調整比例,D43),"")</f>
        <v>424627.4338614592</v>
      </c>
      <c r="E44" s="3">
        <f>IF(ISNUMBER(費用需求表[[#This Row],[年齡]]),費用需求表[[#This Row],[通膨調整金額]]-費用需求表[[#This Row],[年金]],"")</f>
        <v>860486.70532550453</v>
      </c>
      <c r="F44" s="6"/>
      <c r="G44" s="7">
        <f t="shared" si="2"/>
        <v>50</v>
      </c>
      <c r="H44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4" s="3">
        <f>IF(ISNUMBER(明細表[[#This Row],[年齡]]),IF(明細表[[#This Row],[年齡]]&gt;=退休年齡-1,VLOOKUP(明細表[[#This Row],[年齡]]+1,費用需求表[],5,1),0),"")</f>
        <v>0</v>
      </c>
      <c r="J44" s="6">
        <f>IF(ISNUMBER(明細表[[#This Row],[年齡]]),IF(明細表[[#This Row],[年齡]]&gt;=退休年齡,退休後投資報酬率,退休前投資報酬率),"")</f>
        <v>8.5000000000000006E-2</v>
      </c>
      <c r="K44" s="3">
        <f>IF(ISNUMBER(明細表[[#This Row],[年齡]]),L43*明細表[[#This Row],[投資報酬率]],"")</f>
        <v>598420.99005636387</v>
      </c>
      <c r="L44" s="3">
        <f>IF(ISNUMBER(明細表[[#This Row],[年齡]]),L43+明細表[[#This Row],[投入金額]]+明細表[[#This Row],[收益]]-明細表[[#This Row],[支出金額]],"")</f>
        <v>7708618.9792219745</v>
      </c>
    </row>
    <row r="45" spans="1:12" x14ac:dyDescent="0.25">
      <c r="A45" s="7">
        <f t="shared" si="1"/>
        <v>87</v>
      </c>
      <c r="B45" s="3">
        <f>IF(ISNUMBER(費用需求表[[#This Row],[年齡]]),VLOOKUP(費用需求表[[#This Row],[年齡]],階梯式費用[],2),"")</f>
        <v>384000</v>
      </c>
      <c r="C45" s="3">
        <f>IF(ISNUMBER(費用需求表[[#This Row],[年齡]]),費用需求表[[#This Row],[費用現值]]*(1+通貨膨脹率)^(費用需求表[[#This Row],[年齡]]-現在年齡),"")</f>
        <v>1310816.4219707032</v>
      </c>
      <c r="D45" s="3">
        <f>IF(ISNUMBER(費用需求表[[#This Row],[年齡]]),IF(MOD(費用需求表[[#This Row],[年齡]]-退休年齡,通膨調整年數)=0,D44*通膨調整比例,D44),"")</f>
        <v>450618.02983325138</v>
      </c>
      <c r="E45" s="3">
        <f>IF(ISNUMBER(費用需求表[[#This Row],[年齡]]),費用需求表[[#This Row],[通膨調整金額]]-費用需求表[[#This Row],[年金]],"")</f>
        <v>860198.3921374518</v>
      </c>
      <c r="F45" s="6"/>
      <c r="G45" s="7">
        <f t="shared" si="2"/>
        <v>51</v>
      </c>
      <c r="H45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5" s="3">
        <f>IF(ISNUMBER(明細表[[#This Row],[年齡]]),IF(明細表[[#This Row],[年齡]]&gt;=退休年齡-1,VLOOKUP(明細表[[#This Row],[年齡]]+1,費用需求表[],5,1),0),"")</f>
        <v>0</v>
      </c>
      <c r="J45" s="6">
        <f>IF(ISNUMBER(明細表[[#This Row],[年齡]]),IF(明細表[[#This Row],[年齡]]&gt;=退休年齡,退休後投資報酬率,退休前投資報酬率),"")</f>
        <v>8.5000000000000006E-2</v>
      </c>
      <c r="K45" s="3">
        <f>IF(ISNUMBER(明細表[[#This Row],[年齡]]),L44*明細表[[#This Row],[投資報酬率]],"")</f>
        <v>655232.61323386792</v>
      </c>
      <c r="L45" s="3">
        <f>IF(ISNUMBER(明細表[[#This Row],[年齡]]),L44+明細表[[#This Row],[投入金額]]+明細表[[#This Row],[收益]]-明細表[[#This Row],[支出金額]],"")</f>
        <v>8433802.6397818793</v>
      </c>
    </row>
    <row r="46" spans="1:12" x14ac:dyDescent="0.25">
      <c r="A46" s="7">
        <f t="shared" si="1"/>
        <v>88</v>
      </c>
      <c r="B46" s="3">
        <f>IF(ISNUMBER(費用需求表[[#This Row],[年齡]]),VLOOKUP(費用需求表[[#This Row],[年齡]],階梯式費用[],2),"")</f>
        <v>384000</v>
      </c>
      <c r="C46" s="3">
        <f>IF(ISNUMBER(費用需求表[[#This Row],[年齡]]),費用需求表[[#This Row],[費用現值]]*(1+通貨膨脹率)^(費用需求表[[#This Row],[年齡]]-現在年齡),"")</f>
        <v>1337032.7504101167</v>
      </c>
      <c r="D46" s="3">
        <f>IF(ISNUMBER(費用需求表[[#This Row],[年齡]]),IF(MOD(費用需求表[[#This Row],[年齡]]-退休年齡,通膨調整年數)=0,D45*通膨調整比例,D45),"")</f>
        <v>450618.02983325138</v>
      </c>
      <c r="E46" s="3">
        <f>IF(ISNUMBER(費用需求表[[#This Row],[年齡]]),費用需求表[[#This Row],[通膨調整金額]]-費用需求表[[#This Row],[年金]],"")</f>
        <v>886414.72057686537</v>
      </c>
      <c r="F46" s="6"/>
      <c r="G46" s="7">
        <f t="shared" si="2"/>
        <v>52</v>
      </c>
      <c r="H46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6" s="3">
        <f>IF(ISNUMBER(明細表[[#This Row],[年齡]]),IF(明細表[[#This Row],[年齡]]&gt;=退休年齡-1,VLOOKUP(明細表[[#This Row],[年齡]]+1,費用需求表[],5,1),0),"")</f>
        <v>0</v>
      </c>
      <c r="J46" s="6">
        <f>IF(ISNUMBER(明細表[[#This Row],[年齡]]),IF(明細表[[#This Row],[年齡]]&gt;=退休年齡,退休後投資報酬率,退休前投資報酬率),"")</f>
        <v>8.5000000000000006E-2</v>
      </c>
      <c r="K46" s="3">
        <f>IF(ISNUMBER(明細表[[#This Row],[年齡]]),L45*明細表[[#This Row],[投資報酬率]],"")</f>
        <v>716873.22438145976</v>
      </c>
      <c r="L46" s="3">
        <f>IF(ISNUMBER(明細表[[#This Row],[年齡]]),L45+明細表[[#This Row],[投入金額]]+明細表[[#This Row],[收益]]-明細表[[#This Row],[支出金額]],"")</f>
        <v>9220626.9114893749</v>
      </c>
    </row>
    <row r="47" spans="1:12" x14ac:dyDescent="0.25">
      <c r="A47" s="7">
        <f t="shared" si="1"/>
        <v>89</v>
      </c>
      <c r="B47" s="3">
        <f>IF(ISNUMBER(費用需求表[[#This Row],[年齡]]),VLOOKUP(費用需求表[[#This Row],[年齡]],階梯式費用[],2),"")</f>
        <v>384000</v>
      </c>
      <c r="C47" s="3">
        <f>IF(ISNUMBER(費用需求表[[#This Row],[年齡]]),費用需求表[[#This Row],[費用現值]]*(1+通貨膨脹率)^(費用需求表[[#This Row],[年齡]]-現在年齡),"")</f>
        <v>1363773.4054183194</v>
      </c>
      <c r="D47" s="3">
        <f>IF(ISNUMBER(費用需求表[[#This Row],[年齡]]),IF(MOD(費用需求表[[#This Row],[年齡]]-退休年齡,通膨調整年數)=0,D46*通膨調整比例,D46),"")</f>
        <v>450618.02983325138</v>
      </c>
      <c r="E47" s="3">
        <f>IF(ISNUMBER(費用需求表[[#This Row],[年齡]]),費用需求表[[#This Row],[通膨調整金額]]-費用需求表[[#This Row],[年金]],"")</f>
        <v>913155.37558506802</v>
      </c>
      <c r="F47" s="6"/>
      <c r="G47" s="7">
        <f t="shared" si="2"/>
        <v>53</v>
      </c>
      <c r="H47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7" s="3">
        <f>IF(ISNUMBER(明細表[[#This Row],[年齡]]),IF(明細表[[#This Row],[年齡]]&gt;=退休年齡-1,VLOOKUP(明細表[[#This Row],[年齡]]+1,費用需求表[],5,1),0),"")</f>
        <v>0</v>
      </c>
      <c r="J47" s="6">
        <f>IF(ISNUMBER(明細表[[#This Row],[年齡]]),IF(明細表[[#This Row],[年齡]]&gt;=退休年齡,退休後投資報酬率,退休前投資報酬率),"")</f>
        <v>8.5000000000000006E-2</v>
      </c>
      <c r="K47" s="3">
        <f>IF(ISNUMBER(明細表[[#This Row],[年齡]]),L46*明細表[[#This Row],[投資報酬率]],"")</f>
        <v>783753.28747659689</v>
      </c>
      <c r="L47" s="3">
        <f>IF(ISNUMBER(明細表[[#This Row],[年齡]]),L46+明細表[[#This Row],[投入金額]]+明細表[[#This Row],[收益]]-明細表[[#This Row],[支出金額]],"")</f>
        <v>10074331.246292008</v>
      </c>
    </row>
    <row r="48" spans="1:12" x14ac:dyDescent="0.25">
      <c r="A48" s="7">
        <f t="shared" si="1"/>
        <v>90</v>
      </c>
      <c r="B48" s="3">
        <f>IF(ISNUMBER(費用需求表[[#This Row],[年齡]]),VLOOKUP(費用需求表[[#This Row],[年齡]],階梯式費用[],2),"")</f>
        <v>384000</v>
      </c>
      <c r="C48" s="3">
        <f>IF(ISNUMBER(費用需求表[[#This Row],[年齡]]),費用需求表[[#This Row],[費用現值]]*(1+通貨膨脹率)^(費用需求表[[#This Row],[年齡]]-現在年齡),"")</f>
        <v>1391048.8735266859</v>
      </c>
      <c r="D48" s="3">
        <f>IF(ISNUMBER(費用需求表[[#This Row],[年齡]]),IF(MOD(費用需求表[[#This Row],[年齡]]-退休年齡,通膨調整年數)=0,D47*通膨調整比例,D47),"")</f>
        <v>478199.458203285</v>
      </c>
      <c r="E48" s="3">
        <f>IF(ISNUMBER(費用需求表[[#This Row],[年齡]]),費用需求表[[#This Row],[通膨調整金額]]-費用需求表[[#This Row],[年金]],"")</f>
        <v>912849.41532340087</v>
      </c>
      <c r="F48" s="6"/>
      <c r="G48" s="7">
        <f t="shared" si="2"/>
        <v>54</v>
      </c>
      <c r="H48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8" s="3">
        <f>IF(ISNUMBER(明細表[[#This Row],[年齡]]),IF(明細表[[#This Row],[年齡]]&gt;=退休年齡-1,VLOOKUP(明細表[[#This Row],[年齡]]+1,費用需求表[],5,1),0),"")</f>
        <v>0</v>
      </c>
      <c r="J48" s="6">
        <f>IF(ISNUMBER(明細表[[#This Row],[年齡]]),IF(明細表[[#This Row],[年齡]]&gt;=退休年齡,退休後投資報酬率,退休前投資報酬率),"")</f>
        <v>8.5000000000000006E-2</v>
      </c>
      <c r="K48" s="3">
        <f>IF(ISNUMBER(明細表[[#This Row],[年齡]]),L47*明細表[[#This Row],[投資報酬率]],"")</f>
        <v>856318.15593482077</v>
      </c>
      <c r="L48" s="3">
        <f>IF(ISNUMBER(明細表[[#This Row],[年齡]]),L47+明細表[[#This Row],[投入金額]]+明細表[[#This Row],[收益]]-明細表[[#This Row],[支出金額]],"")</f>
        <v>11000600.449552864</v>
      </c>
    </row>
    <row r="49" spans="1:12" x14ac:dyDescent="0.25">
      <c r="A49" s="7">
        <f t="shared" si="1"/>
        <v>91</v>
      </c>
      <c r="B49" s="3">
        <f>IF(ISNUMBER(費用需求表[[#This Row],[年齡]]),VLOOKUP(費用需求表[[#This Row],[年齡]],階梯式費用[],2),"")</f>
        <v>384000</v>
      </c>
      <c r="C49" s="3">
        <f>IF(ISNUMBER(費用需求表[[#This Row],[年齡]]),費用需求表[[#This Row],[費用現值]]*(1+通貨膨脹率)^(費用需求表[[#This Row],[年齡]]-現在年齡),"")</f>
        <v>1418869.8509972196</v>
      </c>
      <c r="D49" s="3">
        <f>IF(ISNUMBER(費用需求表[[#This Row],[年齡]]),IF(MOD(費用需求表[[#This Row],[年齡]]-退休年齡,通膨調整年數)=0,D48*通膨調整比例,D48),"")</f>
        <v>478199.458203285</v>
      </c>
      <c r="E49" s="3">
        <f>IF(ISNUMBER(費用需求表[[#This Row],[年齡]]),費用需求表[[#This Row],[通膨調整金額]]-費用需求表[[#This Row],[年金]],"")</f>
        <v>940670.39279393456</v>
      </c>
      <c r="F49" s="6"/>
      <c r="G49" s="7">
        <f t="shared" si="2"/>
        <v>55</v>
      </c>
      <c r="H49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49" s="3">
        <f>IF(ISNUMBER(明細表[[#This Row],[年齡]]),IF(明細表[[#This Row],[年齡]]&gt;=退休年齡-1,VLOOKUP(明細表[[#This Row],[年齡]]+1,費用需求表[],5,1),0),"")</f>
        <v>0</v>
      </c>
      <c r="J49" s="6">
        <f>IF(ISNUMBER(明細表[[#This Row],[年齡]]),IF(明細表[[#This Row],[年齡]]&gt;=退休年齡,退休後投資報酬率,退休前投資報酬率),"")</f>
        <v>8.5000000000000006E-2</v>
      </c>
      <c r="K49" s="3">
        <f>IF(ISNUMBER(明細表[[#This Row],[年齡]]),L48*明細表[[#This Row],[投資報酬率]],"")</f>
        <v>935051.03821199352</v>
      </c>
      <c r="L49" s="3">
        <f>IF(ISNUMBER(明細表[[#This Row],[年齡]]),L48+明細表[[#This Row],[投入金額]]+明細表[[#This Row],[收益]]-明細表[[#This Row],[支出金額]],"")</f>
        <v>12005602.535090894</v>
      </c>
    </row>
    <row r="50" spans="1:12" x14ac:dyDescent="0.25">
      <c r="A50" s="7">
        <f t="shared" si="1"/>
        <v>92</v>
      </c>
      <c r="B50" s="3">
        <f>IF(ISNUMBER(費用需求表[[#This Row],[年齡]]),VLOOKUP(費用需求表[[#This Row],[年齡]],階梯式費用[],2),"")</f>
        <v>384000</v>
      </c>
      <c r="C50" s="3">
        <f>IF(ISNUMBER(費用需求表[[#This Row],[年齡]]),費用需求表[[#This Row],[費用現值]]*(1+通貨膨脹率)^(費用需求表[[#This Row],[年齡]]-現在年齡),"")</f>
        <v>1447247.2480171639</v>
      </c>
      <c r="D50" s="3">
        <f>IF(ISNUMBER(費用需求表[[#This Row],[年齡]]),IF(MOD(費用需求表[[#This Row],[年齡]]-退休年齡,通膨調整年數)=0,D49*通膨調整比例,D49),"")</f>
        <v>478199.458203285</v>
      </c>
      <c r="E50" s="3">
        <f>IF(ISNUMBER(費用需求表[[#This Row],[年齡]]),費用需求表[[#This Row],[通膨調整金額]]-費用需求表[[#This Row],[年金]],"")</f>
        <v>969047.78981387895</v>
      </c>
      <c r="F50" s="6"/>
      <c r="G50" s="7">
        <f t="shared" si="2"/>
        <v>56</v>
      </c>
      <c r="H50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50" s="3">
        <f>IF(ISNUMBER(明細表[[#This Row],[年齡]]),IF(明細表[[#This Row],[年齡]]&gt;=退休年齡-1,VLOOKUP(明細表[[#This Row],[年齡]]+1,費用需求表[],5,1),0),"")</f>
        <v>0</v>
      </c>
      <c r="J50" s="6">
        <f>IF(ISNUMBER(明細表[[#This Row],[年齡]]),IF(明細表[[#This Row],[年齡]]&gt;=退休年齡,退休後投資報酬率,退休前投資報酬率),"")</f>
        <v>8.5000000000000006E-2</v>
      </c>
      <c r="K50" s="3">
        <f>IF(ISNUMBER(明細表[[#This Row],[年齡]]),L49*明細表[[#This Row],[投資報酬率]],"")</f>
        <v>1020476.215482726</v>
      </c>
      <c r="L50" s="3">
        <f>IF(ISNUMBER(明細表[[#This Row],[年齡]]),L49+明細表[[#This Row],[投入金額]]+明細表[[#This Row],[收益]]-明細表[[#This Row],[支出金額]],"")</f>
        <v>13096029.797899656</v>
      </c>
    </row>
    <row r="51" spans="1:12" x14ac:dyDescent="0.25">
      <c r="A51" s="7">
        <f t="shared" si="1"/>
        <v>93</v>
      </c>
      <c r="B51" s="3">
        <f>IF(ISNUMBER(費用需求表[[#This Row],[年齡]]),VLOOKUP(費用需求表[[#This Row],[年齡]],階梯式費用[],2),"")</f>
        <v>384000</v>
      </c>
      <c r="C51" s="3">
        <f>IF(ISNUMBER(費用需求表[[#This Row],[年齡]]),費用需求表[[#This Row],[費用現值]]*(1+通貨膨脹率)^(費用需求表[[#This Row],[年齡]]-現在年齡),"")</f>
        <v>1476192.1929775071</v>
      </c>
      <c r="D51" s="3">
        <f>IF(ISNUMBER(費用需求表[[#This Row],[年齡]]),IF(MOD(費用需求表[[#This Row],[年齡]]-退休年齡,通膨調整年數)=0,D50*通膨調整比例,D50),"")</f>
        <v>507469.09064099164</v>
      </c>
      <c r="E51" s="3">
        <f>IF(ISNUMBER(費用需求表[[#This Row],[年齡]]),費用需求表[[#This Row],[通膨調整金額]]-費用需求表[[#This Row],[年金]],"")</f>
        <v>968723.10233651544</v>
      </c>
      <c r="F51" s="6"/>
      <c r="G51" s="7">
        <f t="shared" si="2"/>
        <v>57</v>
      </c>
      <c r="H51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51" s="3">
        <f>IF(ISNUMBER(明細表[[#This Row],[年齡]]),IF(明細表[[#This Row],[年齡]]&gt;=退休年齡-1,VLOOKUP(明細表[[#This Row],[年齡]]+1,費用需求表[],5,1),0),"")</f>
        <v>0</v>
      </c>
      <c r="J51" s="6">
        <f>IF(ISNUMBER(明細表[[#This Row],[年齡]]),IF(明細表[[#This Row],[年齡]]&gt;=退休年齡,退休後投資報酬率,退休前投資報酬率),"")</f>
        <v>8.5000000000000006E-2</v>
      </c>
      <c r="K51" s="3">
        <f>IF(ISNUMBER(明細表[[#This Row],[年齡]]),L50*明細表[[#This Row],[投資報酬率]],"")</f>
        <v>1113162.5328214709</v>
      </c>
      <c r="L51" s="3">
        <f>IF(ISNUMBER(明細表[[#This Row],[年齡]]),L50+明細表[[#This Row],[投入金額]]+明細表[[#This Row],[收益]]-明細表[[#This Row],[支出金額]],"")</f>
        <v>14279143.378047163</v>
      </c>
    </row>
    <row r="52" spans="1:12" x14ac:dyDescent="0.25">
      <c r="A52" s="7">
        <f t="shared" si="1"/>
        <v>94</v>
      </c>
      <c r="B52" s="3">
        <f>IF(ISNUMBER(費用需求表[[#This Row],[年齡]]),VLOOKUP(費用需求表[[#This Row],[年齡]],階梯式費用[],2),"")</f>
        <v>384000</v>
      </c>
      <c r="C52" s="3">
        <f>IF(ISNUMBER(費用需求表[[#This Row],[年齡]]),費用需求表[[#This Row],[費用現值]]*(1+通貨膨脹率)^(費用需求表[[#This Row],[年齡]]-現在年齡),"")</f>
        <v>1505716.0368370574</v>
      </c>
      <c r="D52" s="3">
        <f>IF(ISNUMBER(費用需求表[[#This Row],[年齡]]),IF(MOD(費用需求表[[#This Row],[年齡]]-退休年齡,通膨調整年數)=0,D51*通膨調整比例,D51),"")</f>
        <v>507469.09064099164</v>
      </c>
      <c r="E52" s="3">
        <f>IF(ISNUMBER(費用需求表[[#This Row],[年齡]]),費用需求表[[#This Row],[通膨調整金額]]-費用需求表[[#This Row],[年金]],"")</f>
        <v>998246.94619606575</v>
      </c>
      <c r="F52" s="6"/>
      <c r="G52" s="7">
        <f t="shared" si="2"/>
        <v>58</v>
      </c>
      <c r="H52" s="3">
        <f>IF(ISNUMBER(明細表[[#This Row],[年齡]]),IF(明細表[[#This Row],[年齡]]&lt;退休年齡,IF(明細表[[#This Row],[年齡]]=退休年齡-1,每年投入金額+一次領退休金,每年投入金額),0),"")</f>
        <v>69951.047326036467</v>
      </c>
      <c r="I52" s="3">
        <f>IF(ISNUMBER(明細表[[#This Row],[年齡]]),IF(明細表[[#This Row],[年齡]]&gt;=退休年齡-1,VLOOKUP(明細表[[#This Row],[年齡]]+1,費用需求表[],5,1),0),"")</f>
        <v>0</v>
      </c>
      <c r="J52" s="6">
        <f>IF(ISNUMBER(明細表[[#This Row],[年齡]]),IF(明細表[[#This Row],[年齡]]&gt;=退休年齡,退休後投資報酬率,退休前投資報酬率),"")</f>
        <v>8.5000000000000006E-2</v>
      </c>
      <c r="K52" s="3">
        <f>IF(ISNUMBER(明細表[[#This Row],[年齡]]),L51*明細表[[#This Row],[投資報酬率]],"")</f>
        <v>1213727.1871340089</v>
      </c>
      <c r="L52" s="3">
        <f>IF(ISNUMBER(明細表[[#This Row],[年齡]]),L51+明細表[[#This Row],[投入金額]]+明細表[[#This Row],[收益]]-明細表[[#This Row],[支出金額]],"")</f>
        <v>15562821.612507207</v>
      </c>
    </row>
    <row r="53" spans="1:12" x14ac:dyDescent="0.25">
      <c r="A53" s="7">
        <f t="shared" si="1"/>
        <v>95</v>
      </c>
      <c r="B53" s="3">
        <f>IF(ISNUMBER(費用需求表[[#This Row],[年齡]]),VLOOKUP(費用需求表[[#This Row],[年齡]],階梯式費用[],2),"")</f>
        <v>384000</v>
      </c>
      <c r="C53" s="3">
        <f>IF(ISNUMBER(費用需求表[[#This Row],[年齡]]),費用需求表[[#This Row],[費用現值]]*(1+通貨膨脹率)^(費用需求表[[#This Row],[年齡]]-現在年齡),"")</f>
        <v>1535830.3575737986</v>
      </c>
      <c r="D53" s="3">
        <f>IF(ISNUMBER(費用需求表[[#This Row],[年齡]]),IF(MOD(費用需求表[[#This Row],[年齡]]-退休年齡,通膨調整年數)=0,D52*通膨調整比例,D52),"")</f>
        <v>507469.09064099164</v>
      </c>
      <c r="E53" s="3">
        <f>IF(ISNUMBER(費用需求表[[#This Row],[年齡]]),費用需求表[[#This Row],[通膨調整金額]]-費用需求表[[#This Row],[年金]],"")</f>
        <v>1028361.2669328069</v>
      </c>
      <c r="F53" s="6"/>
      <c r="G53" s="7">
        <f t="shared" si="2"/>
        <v>59</v>
      </c>
      <c r="H53" s="3">
        <f>IF(ISNUMBER(明細表[[#This Row],[年齡]]),IF(明細表[[#This Row],[年齡]]&lt;退休年齡,IF(明細表[[#This Row],[年齡]]=退休年齡-1,每年投入金額+一次領退休金,每年投入金額),0),"")</f>
        <v>569951.0473260365</v>
      </c>
      <c r="I53" s="3">
        <f>IF(ISNUMBER(明細表[[#This Row],[年齡]]),IF(明細表[[#This Row],[年齡]]&gt;=退休年齡-1,VLOOKUP(明細表[[#This Row],[年齡]]+1,費用需求表[],5,1),0),"")</f>
        <v>935933.73159747291</v>
      </c>
      <c r="J53" s="6">
        <f>IF(ISNUMBER(明細表[[#This Row],[年齡]]),IF(明細表[[#This Row],[年齡]]&gt;=退休年齡,退休後投資報酬率,退休前投資報酬率),"")</f>
        <v>8.5000000000000006E-2</v>
      </c>
      <c r="K53" s="3">
        <f>IF(ISNUMBER(明細表[[#This Row],[年齡]]),L52*明細表[[#This Row],[投資報酬率]],"")</f>
        <v>1322839.8370631128</v>
      </c>
      <c r="L53" s="3">
        <f>IF(ISNUMBER(明細表[[#This Row],[年齡]]),L52+明細表[[#This Row],[投入金額]]+明細表[[#This Row],[收益]]-明細表[[#This Row],[支出金額]],"")</f>
        <v>16519678.765298884</v>
      </c>
    </row>
    <row r="54" spans="1:12" x14ac:dyDescent="0.25">
      <c r="A54" s="7">
        <f t="shared" si="1"/>
        <v>96</v>
      </c>
      <c r="B54" s="3">
        <f>IF(ISNUMBER(費用需求表[[#This Row],[年齡]]),VLOOKUP(費用需求表[[#This Row],[年齡]],階梯式費用[],2),"")</f>
        <v>384000</v>
      </c>
      <c r="C54" s="3">
        <f>IF(ISNUMBER(費用需求表[[#This Row],[年齡]]),費用需求表[[#This Row],[費用現值]]*(1+通貨膨脹率)^(費用需求表[[#This Row],[年齡]]-現在年齡),"")</f>
        <v>1566546.9647252744</v>
      </c>
      <c r="D54" s="3">
        <f>IF(ISNUMBER(費用需求表[[#This Row],[年齡]]),IF(MOD(費用需求表[[#This Row],[年齡]]-退休年齡,通膨調整年數)=0,D53*通膨調整比例,D53),"")</f>
        <v>538530.25874094537</v>
      </c>
      <c r="E54" s="3">
        <f>IF(ISNUMBER(費用需求表[[#This Row],[年齡]]),費用需求表[[#This Row],[通膨調整金額]]-費用需求表[[#This Row],[年金]],"")</f>
        <v>1028016.705984329</v>
      </c>
      <c r="F54" s="6"/>
      <c r="G54" s="7">
        <f t="shared" si="2"/>
        <v>60</v>
      </c>
      <c r="H54" s="3">
        <f>IF(ISNUMBER(明細表[[#This Row],[年齡]]),IF(明細表[[#This Row],[年齡]]&lt;退休年齡,IF(明細表[[#This Row],[年齡]]=退休年齡-1,每年投入金額+一次領退休金,每年投入金額),0),"")</f>
        <v>0</v>
      </c>
      <c r="I54" s="3">
        <f>IF(ISNUMBER(明細表[[#This Row],[年齡]]),IF(明細表[[#This Row],[年齡]]&gt;=退休年齡-1,VLOOKUP(明細表[[#This Row],[年齡]]+1,費用需求表[],5,1),0),"")</f>
        <v>959932.40622942219</v>
      </c>
      <c r="J54" s="6">
        <f>IF(ISNUMBER(明細表[[#This Row],[年齡]]),IF(明細表[[#This Row],[年齡]]&gt;=退休年齡,退休後投資報酬率,退休前投資報酬率),"")</f>
        <v>0.05</v>
      </c>
      <c r="K54" s="3">
        <f>IF(ISNUMBER(明細表[[#This Row],[年齡]]),L53*明細表[[#This Row],[投資報酬率]],"")</f>
        <v>825983.93826494424</v>
      </c>
      <c r="L54" s="3">
        <f>IF(ISNUMBER(明細表[[#This Row],[年齡]]),L53+明細表[[#This Row],[投入金額]]+明細表[[#This Row],[收益]]-明細表[[#This Row],[支出金額]],"")</f>
        <v>16385730.297334407</v>
      </c>
    </row>
    <row r="55" spans="1:12" x14ac:dyDescent="0.25">
      <c r="A55" s="7">
        <f t="shared" si="1"/>
        <v>97</v>
      </c>
      <c r="B55" s="3">
        <f>IF(ISNUMBER(費用需求表[[#This Row],[年齡]]),VLOOKUP(費用需求表[[#This Row],[年齡]],階梯式費用[],2),"")</f>
        <v>384000</v>
      </c>
      <c r="C55" s="3">
        <f>IF(ISNUMBER(費用需求表[[#This Row],[年齡]]),費用需求表[[#This Row],[費用現值]]*(1+通貨膨脹率)^(費用需求表[[#This Row],[年齡]]-現在年齡),"")</f>
        <v>1597877.90401978</v>
      </c>
      <c r="D55" s="3">
        <f>IF(ISNUMBER(費用需求表[[#This Row],[年齡]]),IF(MOD(費用需求表[[#This Row],[年齡]]-退休年齡,通膨調整年數)=0,D54*通膨調整比例,D54),"")</f>
        <v>538530.25874094537</v>
      </c>
      <c r="E55" s="3">
        <f>IF(ISNUMBER(費用需求表[[#This Row],[年齡]]),費用需求表[[#This Row],[通膨調整金額]]-費用需求表[[#This Row],[年金]],"")</f>
        <v>1059347.6452788347</v>
      </c>
      <c r="F55" s="6"/>
      <c r="G55" s="7">
        <f t="shared" si="2"/>
        <v>61</v>
      </c>
      <c r="H55" s="3">
        <f>IF(ISNUMBER(明細表[[#This Row],[年齡]]),IF(明細表[[#This Row],[年齡]]&lt;退休年齡,IF(明細表[[#This Row],[年齡]]=退休年齡-1,每年投入金額+一次領退休金,每年投入金額),0),"")</f>
        <v>0</v>
      </c>
      <c r="I55" s="3">
        <f>IF(ISNUMBER(明細表[[#This Row],[年齡]]),IF(明細表[[#This Row],[年齡]]&gt;=退休年齡-1,VLOOKUP(明細表[[#This Row],[年齡]]+1,費用需求表[],5,1),0),"")</f>
        <v>984411.05435401085</v>
      </c>
      <c r="J55" s="6">
        <f>IF(ISNUMBER(明細表[[#This Row],[年齡]]),IF(明細表[[#This Row],[年齡]]&gt;=退休年齡,退休後投資報酬率,退休前投資報酬率),"")</f>
        <v>0.05</v>
      </c>
      <c r="K55" s="3">
        <f>IF(ISNUMBER(明細表[[#This Row],[年齡]]),L54*明細表[[#This Row],[投資報酬率]],"")</f>
        <v>819286.51486672042</v>
      </c>
      <c r="L55" s="3">
        <f>IF(ISNUMBER(明細表[[#This Row],[年齡]]),L54+明細表[[#This Row],[投入金額]]+明細表[[#This Row],[收益]]-明細表[[#This Row],[支出金額]],"")</f>
        <v>16220605.757847117</v>
      </c>
    </row>
    <row r="56" spans="1:12" x14ac:dyDescent="0.25">
      <c r="A56" s="7">
        <f t="shared" si="1"/>
        <v>98</v>
      </c>
      <c r="B56" s="3">
        <f>IF(ISNUMBER(費用需求表[[#This Row],[年齡]]),VLOOKUP(費用需求表[[#This Row],[年齡]],階梯式費用[],2),"")</f>
        <v>384000</v>
      </c>
      <c r="C56" s="3">
        <f>IF(ISNUMBER(費用需求表[[#This Row],[年齡]]),費用需求表[[#This Row],[費用現值]]*(1+通貨膨脹率)^(費用需求表[[#This Row],[年齡]]-現在年齡),"")</f>
        <v>1629835.4621001754</v>
      </c>
      <c r="D56" s="3">
        <f>IF(ISNUMBER(費用需求表[[#This Row],[年齡]]),IF(MOD(費用需求表[[#This Row],[年齡]]-退休年齡,通膨調整年數)=0,D55*通膨調整比例,D55),"")</f>
        <v>538530.25874094537</v>
      </c>
      <c r="E56" s="3">
        <f>IF(ISNUMBER(費用需求表[[#This Row],[年齡]]),費用需求表[[#This Row],[通膨調整金額]]-費用需求表[[#This Row],[年金]],"")</f>
        <v>1091305.20335923</v>
      </c>
      <c r="F56" s="6"/>
      <c r="G56" s="7">
        <f t="shared" si="2"/>
        <v>62</v>
      </c>
      <c r="H56" s="3">
        <f>IF(ISNUMBER(明細表[[#This Row],[年齡]]),IF(明細表[[#This Row],[年齡]]&lt;退休年齡,IF(明細表[[#This Row],[年齡]]=退休年齡-1,每年投入金額+一次領退休金,每年投入金額),0),"")</f>
        <v>0</v>
      </c>
      <c r="I56" s="3">
        <f>IF(ISNUMBER(明細表[[#This Row],[年齡]]),IF(明細表[[#This Row],[年齡]]&gt;=退休年齡-1,VLOOKUP(明細表[[#This Row],[年齡]]+1,費用需求表[],5,1),0),"")</f>
        <v>993220.36344109126</v>
      </c>
      <c r="J56" s="6">
        <f>IF(ISNUMBER(明細表[[#This Row],[年齡]]),IF(明細表[[#This Row],[年齡]]&gt;=退休年齡,退休後投資報酬率,退休前投資報酬率),"")</f>
        <v>0.05</v>
      </c>
      <c r="K56" s="3">
        <f>IF(ISNUMBER(明細表[[#This Row],[年齡]]),L55*明細表[[#This Row],[投資報酬率]],"")</f>
        <v>811030.28789235593</v>
      </c>
      <c r="L56" s="3">
        <f>IF(ISNUMBER(明細表[[#This Row],[年齡]]),L55+明細表[[#This Row],[投入金額]]+明細表[[#This Row],[收益]]-明細表[[#This Row],[支出金額]],"")</f>
        <v>16038415.682298381</v>
      </c>
    </row>
    <row r="57" spans="1:12" x14ac:dyDescent="0.25">
      <c r="A57" s="7">
        <f t="shared" si="1"/>
        <v>99</v>
      </c>
      <c r="B57" s="3">
        <f>IF(ISNUMBER(費用需求表[[#This Row],[年齡]]),VLOOKUP(費用需求表[[#This Row],[年齡]],階梯式費用[],2),"")</f>
        <v>384000</v>
      </c>
      <c r="C57" s="3">
        <f>IF(ISNUMBER(費用需求表[[#This Row],[年齡]]),費用需求表[[#This Row],[費用現值]]*(1+通貨膨脹率)^(費用需求表[[#This Row],[年齡]]-現在年齡),"")</f>
        <v>1662432.1713421792</v>
      </c>
      <c r="D57" s="3">
        <f>IF(ISNUMBER(費用需求表[[#This Row],[年齡]]),IF(MOD(費用需求表[[#This Row],[年齡]]-退休年齡,通膨調整年數)=0,D56*通膨調整比例,D56),"")</f>
        <v>571492.61881796108</v>
      </c>
      <c r="E57" s="3">
        <f>IF(ISNUMBER(費用需求表[[#This Row],[年齡]]),費用需求表[[#This Row],[通膨調整金額]]-費用需求表[[#This Row],[年金]],"")</f>
        <v>1090939.5525242181</v>
      </c>
      <c r="F57" s="6"/>
      <c r="G57" s="7">
        <f t="shared" si="2"/>
        <v>63</v>
      </c>
      <c r="H57" s="3">
        <f>IF(ISNUMBER(明細表[[#This Row],[年齡]]),IF(明細表[[#This Row],[年齡]]&lt;退休年齡,IF(明細表[[#This Row],[年齡]]=退休年齡-1,每年投入金額+一次領退休金,每年投入金額),0),"")</f>
        <v>0</v>
      </c>
      <c r="I57" s="3">
        <f>IF(ISNUMBER(明細表[[#This Row],[年齡]]),IF(明細表[[#This Row],[年齡]]&gt;=退休年齡-1,VLOOKUP(明細表[[#This Row],[年齡]]+1,費用需求表[],5,1),0),"")</f>
        <v>1018687.9489499126</v>
      </c>
      <c r="J57" s="6">
        <f>IF(ISNUMBER(明細表[[#This Row],[年齡]]),IF(明細表[[#This Row],[年齡]]&gt;=退休年齡,退休後投資報酬率,退休前投資報酬率),"")</f>
        <v>0.05</v>
      </c>
      <c r="K57" s="3">
        <f>IF(ISNUMBER(明細表[[#This Row],[年齡]]),L56*明細表[[#This Row],[投資報酬率]],"")</f>
        <v>801920.78411491914</v>
      </c>
      <c r="L57" s="3">
        <f>IF(ISNUMBER(明細表[[#This Row],[年齡]]),L56+明細表[[#This Row],[投入金額]]+明細表[[#This Row],[收益]]-明細表[[#This Row],[支出金額]],"")</f>
        <v>15821648.517463388</v>
      </c>
    </row>
    <row r="58" spans="1:12" x14ac:dyDescent="0.25">
      <c r="A58" s="7">
        <f t="shared" si="1"/>
        <v>100</v>
      </c>
      <c r="B58" s="3">
        <f>IF(ISNUMBER(費用需求表[[#This Row],[年齡]]),VLOOKUP(費用需求表[[#This Row],[年齡]],階梯式費用[],2),"")</f>
        <v>384000</v>
      </c>
      <c r="C58" s="3">
        <f>IF(ISNUMBER(費用需求表[[#This Row],[年齡]]),費用需求表[[#This Row],[費用現值]]*(1+通貨膨脹率)^(費用需求表[[#This Row],[年齡]]-現在年齡),"")</f>
        <v>1695680.8147690222</v>
      </c>
      <c r="D58" s="3">
        <f>IF(ISNUMBER(費用需求表[[#This Row],[年齡]]),IF(MOD(費用需求表[[#This Row],[年齡]]-退休年齡,通膨調整年數)=0,D57*通膨調整比例,D57),"")</f>
        <v>571492.61881796108</v>
      </c>
      <c r="E58" s="3">
        <f>IF(ISNUMBER(費用需求表[[#This Row],[年齡]]),費用需求表[[#This Row],[通膨調整金額]]-費用需求表[[#This Row],[年金]],"")</f>
        <v>1124188.1959510611</v>
      </c>
      <c r="F58" s="6"/>
      <c r="G58" s="7">
        <f t="shared" si="2"/>
        <v>64</v>
      </c>
      <c r="H58" s="3">
        <f>IF(ISNUMBER(明細表[[#This Row],[年齡]]),IF(明細表[[#This Row],[年齡]]&lt;退休年齡,IF(明細表[[#This Row],[年齡]]=退休年齡-1,每年投入金額+一次領退休金,每年投入金額),0),"")</f>
        <v>0</v>
      </c>
      <c r="I58" s="3">
        <f>IF(ISNUMBER(明細表[[#This Row],[年齡]]),IF(明細表[[#This Row],[年齡]]&gt;=退休年齡-1,VLOOKUP(明細表[[#This Row],[年齡]]+1,費用需求表[],5,1),0),"")</f>
        <v>1044664.8861689111</v>
      </c>
      <c r="J58" s="6">
        <f>IF(ISNUMBER(明細表[[#This Row],[年齡]]),IF(明細表[[#This Row],[年齡]]&gt;=退休年齡,退休後投資報酬率,退休前投資報酬率),"")</f>
        <v>0.05</v>
      </c>
      <c r="K58" s="3">
        <f>IF(ISNUMBER(明細表[[#This Row],[年齡]]),L57*明細表[[#This Row],[投資報酬率]],"")</f>
        <v>791082.42587316944</v>
      </c>
      <c r="L58" s="3">
        <f>IF(ISNUMBER(明細表[[#This Row],[年齡]]),L57+明細表[[#This Row],[投入金額]]+明細表[[#This Row],[收益]]-明細表[[#This Row],[支出金額]],"")</f>
        <v>15568066.057167646</v>
      </c>
    </row>
    <row r="59" spans="1:12" x14ac:dyDescent="0.25">
      <c r="A59" s="7" t="str">
        <f t="shared" si="1"/>
        <v/>
      </c>
      <c r="B59" s="3" t="str">
        <f>IF(ISNUMBER(費用需求表[[#This Row],[年齡]]),VLOOKUP(費用需求表[[#This Row],[年齡]],階梯式費用[],2),"")</f>
        <v/>
      </c>
      <c r="C59" s="3" t="str">
        <f>IF(ISNUMBER(費用需求表[[#This Row],[年齡]]),費用需求表[[#This Row],[費用現值]]*(1+通貨膨脹率)^(費用需求表[[#This Row],[年齡]]-現在年齡),"")</f>
        <v/>
      </c>
      <c r="D59" s="3" t="str">
        <f>IF(ISNUMBER(費用需求表[[#This Row],[年齡]]),IF(MOD(費用需求表[[#This Row],[年齡]]-退休年齡,通膨調整年數)=0,D58*通膨調整比例,D58),"")</f>
        <v/>
      </c>
      <c r="E59" s="3" t="str">
        <f>IF(ISNUMBER(費用需求表[[#This Row],[年齡]]),費用需求表[[#This Row],[通膨調整金額]]-費用需求表[[#This Row],[年金]],"")</f>
        <v/>
      </c>
      <c r="F59" s="6"/>
      <c r="G59" s="7">
        <f t="shared" si="2"/>
        <v>65</v>
      </c>
      <c r="H59" s="3">
        <f>IF(ISNUMBER(明細表[[#This Row],[年齡]]),IF(明細表[[#This Row],[年齡]]&lt;退休年齡,IF(明細表[[#This Row],[年齡]]=退休年齡-1,每年投入金額+一次領退休金,每年投入金額),0),"")</f>
        <v>0</v>
      </c>
      <c r="I59" s="3">
        <f>IF(ISNUMBER(明細表[[#This Row],[年齡]]),IF(明細表[[#This Row],[年齡]]&gt;=退休年齡-1,VLOOKUP(明細表[[#This Row],[年齡]]+1,費用需求表[],5,1),0),"")</f>
        <v>1054013.3954465934</v>
      </c>
      <c r="J59" s="6">
        <f>IF(ISNUMBER(明細表[[#This Row],[年齡]]),IF(明細表[[#This Row],[年齡]]&gt;=退休年齡,退休後投資報酬率,退休前投資報酬率),"")</f>
        <v>0.05</v>
      </c>
      <c r="K59" s="3">
        <f>IF(ISNUMBER(明細表[[#This Row],[年齡]]),L58*明細表[[#This Row],[投資報酬率]],"")</f>
        <v>778403.30285838235</v>
      </c>
      <c r="L59" s="3">
        <f>IF(ISNUMBER(明細表[[#This Row],[年齡]]),L58+明細表[[#This Row],[投入金額]]+明細表[[#This Row],[收益]]-明細表[[#This Row],[支出金額]],"")</f>
        <v>15292455.964579435</v>
      </c>
    </row>
    <row r="60" spans="1:12" x14ac:dyDescent="0.25">
      <c r="A60" s="7" t="str">
        <f t="shared" si="1"/>
        <v/>
      </c>
      <c r="B60" s="3" t="str">
        <f>IF(ISNUMBER(費用需求表[[#This Row],[年齡]]),VLOOKUP(費用需求表[[#This Row],[年齡]],階梯式費用[],2),"")</f>
        <v/>
      </c>
      <c r="C60" s="3" t="str">
        <f>IF(ISNUMBER(費用需求表[[#This Row],[年齡]]),費用需求表[[#This Row],[費用現值]]*(1+通貨膨脹率)^(費用需求表[[#This Row],[年齡]]-現在年齡),"")</f>
        <v/>
      </c>
      <c r="D60" s="3" t="str">
        <f>IF(ISNUMBER(費用需求表[[#This Row],[年齡]]),IF(MOD(費用需求表[[#This Row],[年齡]]-退休年齡,通膨調整年數)=0,D59*通膨調整比例,D59),"")</f>
        <v/>
      </c>
      <c r="E60" s="3" t="str">
        <f>IF(ISNUMBER(費用需求表[[#This Row],[年齡]]),費用需求表[[#This Row],[通膨調整金額]]-費用需求表[[#This Row],[年金]],"")</f>
        <v/>
      </c>
      <c r="F60" s="6"/>
      <c r="G60" s="7">
        <f t="shared" si="2"/>
        <v>66</v>
      </c>
      <c r="H60" s="3">
        <f>IF(ISNUMBER(明細表[[#This Row],[年齡]]),IF(明細表[[#This Row],[年齡]]&lt;退休年齡,IF(明細表[[#This Row],[年齡]]=退休年齡-1,每年投入金額+一次領退休金,每年投入金額),0),"")</f>
        <v>0</v>
      </c>
      <c r="I60" s="3">
        <f>IF(ISNUMBER(明細表[[#This Row],[年齡]]),IF(明細表[[#This Row],[年齡]]&gt;=退休年齡-1,VLOOKUP(明細表[[#This Row],[年齡]]+1,費用需求表[],5,1),0),"")</f>
        <v>1081039.800929239</v>
      </c>
      <c r="J60" s="6">
        <f>IF(ISNUMBER(明細表[[#This Row],[年齡]]),IF(明細表[[#This Row],[年齡]]&gt;=退休年齡,退休後投資報酬率,退休前投資報酬率),"")</f>
        <v>0.05</v>
      </c>
      <c r="K60" s="3">
        <f>IF(ISNUMBER(明細表[[#This Row],[年齡]]),L59*明細表[[#This Row],[投資報酬率]],"")</f>
        <v>764622.79822897178</v>
      </c>
      <c r="L60" s="3">
        <f>IF(ISNUMBER(明細表[[#This Row],[年齡]]),L59+明細表[[#This Row],[投入金額]]+明細表[[#This Row],[收益]]-明細表[[#This Row],[支出金額]],"")</f>
        <v>14976038.961879168</v>
      </c>
    </row>
    <row r="61" spans="1:12" x14ac:dyDescent="0.25">
      <c r="A61" s="7" t="str">
        <f t="shared" si="1"/>
        <v/>
      </c>
      <c r="B61" s="3" t="str">
        <f>IF(ISNUMBER(費用需求表[[#This Row],[年齡]]),VLOOKUP(費用需求表[[#This Row],[年齡]],階梯式費用[],2),"")</f>
        <v/>
      </c>
      <c r="C61" s="3" t="str">
        <f>IF(ISNUMBER(費用需求表[[#This Row],[年齡]]),費用需求表[[#This Row],[費用現值]]*(1+通貨膨脹率)^(費用需求表[[#This Row],[年齡]]-現在年齡),"")</f>
        <v/>
      </c>
      <c r="D61" s="3" t="str">
        <f>IF(ISNUMBER(費用需求表[[#This Row],[年齡]]),IF(MOD(費用需求表[[#This Row],[年齡]]-退休年齡,通膨調整年數)=0,D60*通膨調整比例,D60),"")</f>
        <v/>
      </c>
      <c r="E61" s="3" t="str">
        <f>IF(ISNUMBER(費用需求表[[#This Row],[年齡]]),費用需求表[[#This Row],[通膨調整金額]]-費用需求表[[#This Row],[年金]],"")</f>
        <v/>
      </c>
      <c r="F61" s="6"/>
      <c r="G61" s="7">
        <f t="shared" si="2"/>
        <v>67</v>
      </c>
      <c r="H61" s="3">
        <f>IF(ISNUMBER(明細表[[#This Row],[年齡]]),IF(明細表[[#This Row],[年齡]]&lt;退休年齡,IF(明細表[[#This Row],[年齡]]=退休年齡-1,每年投入金額+一次領退休金,每年投入金額),0),"")</f>
        <v>0</v>
      </c>
      <c r="I61" s="3">
        <f>IF(ISNUMBER(明細表[[#This Row],[年齡]]),IF(明細表[[#This Row],[年齡]]&gt;=退休年齡-1,VLOOKUP(明細表[[#This Row],[年齡]]+1,費用需求表[],5,1),0),"")</f>
        <v>1108606.7345215376</v>
      </c>
      <c r="J61" s="6">
        <f>IF(ISNUMBER(明細表[[#This Row],[年齡]]),IF(明細表[[#This Row],[年齡]]&gt;=退休年齡,退休後投資報酬率,退休前投資報酬率),"")</f>
        <v>0.05</v>
      </c>
      <c r="K61" s="3">
        <f>IF(ISNUMBER(明細表[[#This Row],[年齡]]),L60*明細表[[#This Row],[投資報酬率]],"")</f>
        <v>748801.94809395843</v>
      </c>
      <c r="L61" s="3">
        <f>IF(ISNUMBER(明細表[[#This Row],[年齡]]),L60+明細表[[#This Row],[投入金額]]+明細表[[#This Row],[收益]]-明細表[[#This Row],[支出金額]],"")</f>
        <v>14616234.175451588</v>
      </c>
    </row>
    <row r="62" spans="1:12" x14ac:dyDescent="0.25">
      <c r="A62" s="7" t="str">
        <f t="shared" si="1"/>
        <v/>
      </c>
      <c r="B62" s="3" t="str">
        <f>IF(ISNUMBER(費用需求表[[#This Row],[年齡]]),VLOOKUP(費用需求表[[#This Row],[年齡]],階梯式費用[],2),"")</f>
        <v/>
      </c>
      <c r="C62" s="3" t="str">
        <f>IF(ISNUMBER(費用需求表[[#This Row],[年齡]]),費用需求表[[#This Row],[費用現值]]*(1+通貨膨脹率)^(費用需求表[[#This Row],[年齡]]-現在年齡),"")</f>
        <v/>
      </c>
      <c r="D62" s="3" t="str">
        <f>IF(ISNUMBER(費用需求表[[#This Row],[年齡]]),IF(MOD(費用需求表[[#This Row],[年齡]]-退休年齡,通膨調整年數)=0,D61*通膨調整比例,D61),"")</f>
        <v/>
      </c>
      <c r="E62" s="3" t="str">
        <f>IF(ISNUMBER(費用需求表[[#This Row],[年齡]]),費用需求表[[#This Row],[通膨調整金額]]-費用需求表[[#This Row],[年金]],"")</f>
        <v/>
      </c>
      <c r="F62" s="6"/>
      <c r="G62" s="7">
        <f t="shared" si="2"/>
        <v>68</v>
      </c>
      <c r="H62" s="3">
        <f>IF(ISNUMBER(明細表[[#This Row],[年齡]]),IF(明細表[[#This Row],[年齡]]&lt;退休年齡,IF(明細表[[#This Row],[年齡]]=退休年齡-1,每年投入金額+一次領退休金,每年投入金額),0),"")</f>
        <v>0</v>
      </c>
      <c r="I62" s="3">
        <f>IF(ISNUMBER(明細表[[#This Row],[年齡]]),IF(明細表[[#This Row],[年齡]]&gt;=退休年齡-1,VLOOKUP(明細表[[#This Row],[年齡]]+1,費用需求表[],5,1),0),"")</f>
        <v>1118527.4473550885</v>
      </c>
      <c r="J62" s="6">
        <f>IF(ISNUMBER(明細表[[#This Row],[年齡]]),IF(明細表[[#This Row],[年齡]]&gt;=退休年齡,退休後投資報酬率,退休前投資報酬率),"")</f>
        <v>0.05</v>
      </c>
      <c r="K62" s="3">
        <f>IF(ISNUMBER(明細表[[#This Row],[年齡]]),L61*明細表[[#This Row],[投資報酬率]],"")</f>
        <v>730811.70877257944</v>
      </c>
      <c r="L62" s="3">
        <f>IF(ISNUMBER(明細表[[#This Row],[年齡]]),L61+明細表[[#This Row],[投入金額]]+明細表[[#This Row],[收益]]-明細表[[#This Row],[支出金額]],"")</f>
        <v>14228518.436869079</v>
      </c>
    </row>
    <row r="63" spans="1:12" x14ac:dyDescent="0.25">
      <c r="A63" s="7" t="str">
        <f t="shared" si="1"/>
        <v/>
      </c>
      <c r="B63" s="3" t="str">
        <f>IF(ISNUMBER(費用需求表[[#This Row],[年齡]]),VLOOKUP(費用需求表[[#This Row],[年齡]],階梯式費用[],2),"")</f>
        <v/>
      </c>
      <c r="C63" s="3" t="str">
        <f>IF(ISNUMBER(費用需求表[[#This Row],[年齡]]),費用需求表[[#This Row],[費用現值]]*(1+通貨膨脹率)^(費用需求表[[#This Row],[年齡]]-現在年齡),"")</f>
        <v/>
      </c>
      <c r="D63" s="3" t="str">
        <f>IF(ISNUMBER(費用需求表[[#This Row],[年齡]]),IF(MOD(費用需求表[[#This Row],[年齡]]-退休年齡,通膨調整年數)=0,D62*通膨調整比例,D62),"")</f>
        <v/>
      </c>
      <c r="E63" s="3" t="str">
        <f>IF(ISNUMBER(費用需求表[[#This Row],[年齡]]),費用需求表[[#This Row],[通膨調整金額]]-費用需求表[[#This Row],[年金]],"")</f>
        <v/>
      </c>
      <c r="F63" s="6"/>
      <c r="G63" s="7">
        <f t="shared" si="2"/>
        <v>69</v>
      </c>
      <c r="H63" s="3">
        <f>IF(ISNUMBER(明細表[[#This Row],[年齡]]),IF(明細表[[#This Row],[年齡]]&lt;退休年齡,IF(明細表[[#This Row],[年齡]]=退休年齡-1,每年投入金額+一次領退休金,每年投入金額),0),"")</f>
        <v>0</v>
      </c>
      <c r="I63" s="3">
        <f>IF(ISNUMBER(明細表[[#This Row],[年齡]]),IF(明細表[[#This Row],[年齡]]&gt;=退休年齡-1,VLOOKUP(明細表[[#This Row],[年齡]]+1,費用需求表[],5,1),0),"")</f>
        <v>854665.58042835491</v>
      </c>
      <c r="J63" s="6">
        <f>IF(ISNUMBER(明細表[[#This Row],[年齡]]),IF(明細表[[#This Row],[年齡]]&gt;=退休年齡,退休後投資報酬率,退休前投資報酬率),"")</f>
        <v>0.05</v>
      </c>
      <c r="K63" s="3">
        <f>IF(ISNUMBER(明細表[[#This Row],[年齡]]),L62*明細表[[#This Row],[投資報酬率]],"")</f>
        <v>711425.92184345401</v>
      </c>
      <c r="L63" s="3">
        <f>IF(ISNUMBER(明細表[[#This Row],[年齡]]),L62+明細表[[#This Row],[投入金額]]+明細表[[#This Row],[收益]]-明細表[[#This Row],[支出金額]],"")</f>
        <v>14085278.778284179</v>
      </c>
    </row>
    <row r="64" spans="1:12" x14ac:dyDescent="0.25">
      <c r="A64" s="7" t="str">
        <f t="shared" si="1"/>
        <v/>
      </c>
      <c r="B64" s="3" t="str">
        <f>IF(ISNUMBER(費用需求表[[#This Row],[年齡]]),VLOOKUP(費用需求表[[#This Row],[年齡]],階梯式費用[],2),"")</f>
        <v/>
      </c>
      <c r="C64" s="3" t="str">
        <f>IF(ISNUMBER(費用需求表[[#This Row],[年齡]]),費用需求表[[#This Row],[費用現值]]*(1+通貨膨脹率)^(費用需求表[[#This Row],[年齡]]-現在年齡),"")</f>
        <v/>
      </c>
      <c r="D64" s="3" t="str">
        <f>IF(ISNUMBER(費用需求表[[#This Row],[年齡]]),IF(MOD(費用需求表[[#This Row],[年齡]]-退休年齡,通膨調整年數)=0,D63*通膨調整比例,D63),"")</f>
        <v/>
      </c>
      <c r="E64" s="3" t="str">
        <f>IF(ISNUMBER(費用需求表[[#This Row],[年齡]]),費用需求表[[#This Row],[通膨調整金額]]-費用需求表[[#This Row],[年金]],"")</f>
        <v/>
      </c>
      <c r="F64" s="6"/>
      <c r="G64" s="7">
        <f t="shared" si="2"/>
        <v>70</v>
      </c>
      <c r="H64" s="3">
        <f>IF(ISNUMBER(明細表[[#This Row],[年齡]]),IF(明細表[[#This Row],[年齡]]&lt;退休年齡,IF(明細表[[#This Row],[年齡]]=退休年齡-1,每年投入金額+一次領退休金,每年投入金額),0),"")</f>
        <v>0</v>
      </c>
      <c r="I64" s="3">
        <f>IF(ISNUMBER(明細表[[#This Row],[年齡]]),IF(明細表[[#This Row],[年齡]]&gt;=退休年齡-1,VLOOKUP(明細表[[#This Row],[年齡]]+1,費用需求表[],5,1),0),"")</f>
        <v>878068.98079924798</v>
      </c>
      <c r="J64" s="6">
        <f>IF(ISNUMBER(明細表[[#This Row],[年齡]]),IF(明細表[[#This Row],[年齡]]&gt;=退休年齡,退休後投資報酬率,退休前投資報酬率),"")</f>
        <v>0.05</v>
      </c>
      <c r="K64" s="3">
        <f>IF(ISNUMBER(明細表[[#This Row],[年齡]]),L63*明細表[[#This Row],[投資報酬率]],"")</f>
        <v>704263.93891420902</v>
      </c>
      <c r="L64" s="3">
        <f>IF(ISNUMBER(明細表[[#This Row],[年齡]]),L63+明細表[[#This Row],[投入金額]]+明細表[[#This Row],[收益]]-明細表[[#This Row],[支出金額]],"")</f>
        <v>13911473.73639914</v>
      </c>
    </row>
    <row r="65" spans="1:12" x14ac:dyDescent="0.25">
      <c r="A65" s="7" t="str">
        <f t="shared" si="1"/>
        <v/>
      </c>
      <c r="B65" s="3" t="str">
        <f>IF(ISNUMBER(費用需求表[[#This Row],[年齡]]),VLOOKUP(費用需求表[[#This Row],[年齡]],階梯式費用[],2),"")</f>
        <v/>
      </c>
      <c r="C65" s="3" t="str">
        <f>IF(ISNUMBER(費用需求表[[#This Row],[年齡]]),費用需求表[[#This Row],[費用現值]]*(1+通貨膨脹率)^(費用需求表[[#This Row],[年齡]]-現在年齡),"")</f>
        <v/>
      </c>
      <c r="D65" s="3" t="str">
        <f>IF(ISNUMBER(費用需求表[[#This Row],[年齡]]),IF(MOD(費用需求表[[#This Row],[年齡]]-退休年齡,通膨調整年數)=0,D64*通膨調整比例,D64),"")</f>
        <v/>
      </c>
      <c r="E65" s="3" t="str">
        <f>IF(ISNUMBER(費用需求表[[#This Row],[年齡]]),費用需求表[[#This Row],[通膨調整金額]]-費用需求表[[#This Row],[年金]],"")</f>
        <v/>
      </c>
      <c r="F65" s="6"/>
      <c r="G65" s="7">
        <f t="shared" si="2"/>
        <v>71</v>
      </c>
      <c r="H65" s="3">
        <f>IF(ISNUMBER(明細表[[#This Row],[年齡]]),IF(明細表[[#This Row],[年齡]]&lt;退休年齡,IF(明細表[[#This Row],[年齡]]=退休年齡-1,每年投入金額+一次領退休金,每年投入金額),0),"")</f>
        <v>0</v>
      </c>
      <c r="I65" s="3">
        <f>IF(ISNUMBER(明細表[[#This Row],[年齡]]),IF(明細表[[#This Row],[年齡]]&gt;=退休年齡-1,VLOOKUP(明細表[[#This Row],[年齡]]+1,費用需求表[],5,1),0),"")</f>
        <v>882629.05352933635</v>
      </c>
      <c r="J65" s="6">
        <f>IF(ISNUMBER(明細表[[#This Row],[年齡]]),IF(明細表[[#This Row],[年齡]]&gt;=退休年齡,退休後投資報酬率,退休前投資報酬率),"")</f>
        <v>0.05</v>
      </c>
      <c r="K65" s="3">
        <f>IF(ISNUMBER(明細表[[#This Row],[年齡]]),L64*明細表[[#This Row],[投資報酬率]],"")</f>
        <v>695573.6868199571</v>
      </c>
      <c r="L65" s="3">
        <f>IF(ISNUMBER(明細表[[#This Row],[年齡]]),L64+明細表[[#This Row],[投入金額]]+明細表[[#This Row],[收益]]-明細表[[#This Row],[支出金額]],"")</f>
        <v>13724418.369689761</v>
      </c>
    </row>
    <row r="66" spans="1:12" x14ac:dyDescent="0.25">
      <c r="A66" s="7" t="str">
        <f t="shared" si="1"/>
        <v/>
      </c>
      <c r="B66" s="3" t="str">
        <f>IF(ISNUMBER(費用需求表[[#This Row],[年齡]]),VLOOKUP(費用需求表[[#This Row],[年齡]],階梯式費用[],2),"")</f>
        <v/>
      </c>
      <c r="C66" s="3" t="str">
        <f>IF(ISNUMBER(費用需求表[[#This Row],[年齡]]),費用需求表[[#This Row],[費用現值]]*(1+通貨膨脹率)^(費用需求表[[#This Row],[年齡]]-現在年齡),"")</f>
        <v/>
      </c>
      <c r="D66" s="3" t="str">
        <f>IF(ISNUMBER(費用需求表[[#This Row],[年齡]]),IF(MOD(費用需求表[[#This Row],[年齡]]-退休年齡,通膨調整年數)=0,D65*通膨調整比例,D65),"")</f>
        <v/>
      </c>
      <c r="E66" s="3" t="str">
        <f>IF(ISNUMBER(費用需求表[[#This Row],[年齡]]),費用需求表[[#This Row],[通膨調整金額]]-費用需求表[[#This Row],[年金]],"")</f>
        <v/>
      </c>
      <c r="F66" s="6"/>
      <c r="G66" s="7">
        <f t="shared" si="2"/>
        <v>72</v>
      </c>
      <c r="H66" s="3">
        <f>IF(ISNUMBER(明細表[[#This Row],[年齡]]),IF(明細表[[#This Row],[年齡]]&lt;退休年齡,IF(明細表[[#This Row],[年齡]]=退休年齡-1,每年投入金額+一次領退休金,每年投入金額),0),"")</f>
        <v>0</v>
      </c>
      <c r="I66" s="3">
        <f>IF(ISNUMBER(明細表[[#This Row],[年齡]]),IF(明細表[[#This Row],[年齡]]&gt;=退休年齡-1,VLOOKUP(明細表[[#This Row],[年齡]]+1,費用需求表[],5,1),0),"")</f>
        <v>906977.95127521339</v>
      </c>
      <c r="J66" s="6">
        <f>IF(ISNUMBER(明細表[[#This Row],[年齡]]),IF(明細表[[#This Row],[年齡]]&gt;=退休年齡,退休後投資報酬率,退休前投資報酬率),"")</f>
        <v>0.05</v>
      </c>
      <c r="K66" s="3">
        <f>IF(ISNUMBER(明細表[[#This Row],[年齡]]),L65*明細表[[#This Row],[投資報酬率]],"")</f>
        <v>686220.91848448804</v>
      </c>
      <c r="L66" s="3">
        <f>IF(ISNUMBER(明細表[[#This Row],[年齡]]),L65+明細表[[#This Row],[投入金額]]+明細表[[#This Row],[收益]]-明細表[[#This Row],[支出金額]],"")</f>
        <v>13503661.336899037</v>
      </c>
    </row>
    <row r="67" spans="1:12" x14ac:dyDescent="0.25">
      <c r="A67" s="7" t="str">
        <f t="shared" si="1"/>
        <v/>
      </c>
      <c r="B67" s="3" t="str">
        <f>IF(ISNUMBER(費用需求表[[#This Row],[年齡]]),VLOOKUP(費用需求表[[#This Row],[年齡]],階梯式費用[],2),"")</f>
        <v/>
      </c>
      <c r="C67" s="3" t="str">
        <f>IF(ISNUMBER(費用需求表[[#This Row],[年齡]]),費用需求表[[#This Row],[費用現值]]*(1+通貨膨脹率)^(費用需求表[[#This Row],[年齡]]-現在年齡),"")</f>
        <v/>
      </c>
      <c r="D67" s="3" t="str">
        <f>IF(ISNUMBER(費用需求表[[#This Row],[年齡]]),IF(MOD(費用需求表[[#This Row],[年齡]]-退休年齡,通膨調整年數)=0,D66*通膨調整比例,D66),"")</f>
        <v/>
      </c>
      <c r="E67" s="3" t="str">
        <f>IF(ISNUMBER(費用需求表[[#This Row],[年齡]]),費用需求表[[#This Row],[通膨調整金額]]-費用需求表[[#This Row],[年金]],"")</f>
        <v/>
      </c>
      <c r="F67" s="6"/>
      <c r="G67" s="7">
        <f t="shared" si="2"/>
        <v>73</v>
      </c>
      <c r="H67" s="3">
        <f>IF(ISNUMBER(明細表[[#This Row],[年齡]]),IF(明細表[[#This Row],[年齡]]&lt;退休年齡,IF(明細表[[#This Row],[年齡]]=退休年齡-1,每年投入金額+一次領退休金,每年投入金額),0),"")</f>
        <v>0</v>
      </c>
      <c r="I67" s="3">
        <f>IF(ISNUMBER(明細表[[#This Row],[年齡]]),IF(明細表[[#This Row],[年齡]]&gt;=退休年齡-1,VLOOKUP(明細表[[#This Row],[年齡]]+1,費用需求表[],5,1),0),"")</f>
        <v>931813.82697600801</v>
      </c>
      <c r="J67" s="6">
        <f>IF(ISNUMBER(明細表[[#This Row],[年齡]]),IF(明細表[[#This Row],[年齡]]&gt;=退休年齡,退休後投資報酬率,退休前投資報酬率),"")</f>
        <v>0.05</v>
      </c>
      <c r="K67" s="3">
        <f>IF(ISNUMBER(明細表[[#This Row],[年齡]]),L66*明細表[[#This Row],[投資報酬率]],"")</f>
        <v>675183.06684495183</v>
      </c>
      <c r="L67" s="3">
        <f>IF(ISNUMBER(明細表[[#This Row],[年齡]]),L66+明細表[[#This Row],[投入金額]]+明細表[[#This Row],[收益]]-明細表[[#This Row],[支出金額]],"")</f>
        <v>13247030.576767979</v>
      </c>
    </row>
    <row r="68" spans="1:12" x14ac:dyDescent="0.25">
      <c r="A68" s="7" t="str">
        <f t="shared" si="1"/>
        <v/>
      </c>
      <c r="B68" s="3" t="str">
        <f>IF(ISNUMBER(費用需求表[[#This Row],[年齡]]),VLOOKUP(費用需求表[[#This Row],[年齡]],階梯式費用[],2),"")</f>
        <v/>
      </c>
      <c r="C68" s="3" t="str">
        <f>IF(ISNUMBER(費用需求表[[#This Row],[年齡]]),費用需求表[[#This Row],[費用現值]]*(1+通貨膨脹率)^(費用需求表[[#This Row],[年齡]]-現在年齡),"")</f>
        <v/>
      </c>
      <c r="D68" s="3" t="str">
        <f>IF(ISNUMBER(費用需求表[[#This Row],[年齡]]),IF(MOD(費用需求表[[#This Row],[年齡]]-退休年齡,通膨調整年數)=0,D67*通膨調整比例,D67),"")</f>
        <v/>
      </c>
      <c r="E68" s="3" t="str">
        <f>IF(ISNUMBER(費用需求表[[#This Row],[年齡]]),費用需求表[[#This Row],[通膨調整金額]]-費用需求表[[#This Row],[年金]],"")</f>
        <v/>
      </c>
      <c r="F68" s="6"/>
      <c r="G68" s="7">
        <f t="shared" si="2"/>
        <v>74</v>
      </c>
      <c r="H68" s="3">
        <f>IF(ISNUMBER(明細表[[#This Row],[年齡]]),IF(明細表[[#This Row],[年齡]]&lt;退休年齡,IF(明細表[[#This Row],[年齡]]=退休年齡-1,每年投入金額+一次領退休金,每年投入金額),0),"")</f>
        <v>0</v>
      </c>
      <c r="I68" s="3">
        <f>IF(ISNUMBER(明細表[[#This Row],[年齡]]),IF(明細表[[#This Row],[年齡]]&gt;=退休年齡-1,VLOOKUP(明細表[[#This Row],[年齡]]+1,費用需求表[],5,1),0),"")</f>
        <v>936653.01263776026</v>
      </c>
      <c r="J68" s="6">
        <f>IF(ISNUMBER(明細表[[#This Row],[年齡]]),IF(明細表[[#This Row],[年齡]]&gt;=退休年齡,退休後投資報酬率,退休前投資報酬率),"")</f>
        <v>0.05</v>
      </c>
      <c r="K68" s="3">
        <f>IF(ISNUMBER(明細表[[#This Row],[年齡]]),L67*明細表[[#This Row],[投資報酬率]],"")</f>
        <v>662351.52883839898</v>
      </c>
      <c r="L68" s="3">
        <f>IF(ISNUMBER(明細表[[#This Row],[年齡]]),L67+明細表[[#This Row],[投入金額]]+明細表[[#This Row],[收益]]-明細表[[#This Row],[支出金額]],"")</f>
        <v>12972729.092968618</v>
      </c>
    </row>
    <row r="69" spans="1:12" x14ac:dyDescent="0.25">
      <c r="A69" s="7" t="str">
        <f t="shared" si="1"/>
        <v/>
      </c>
      <c r="B69" s="3" t="str">
        <f>IF(ISNUMBER(費用需求表[[#This Row],[年齡]]),VLOOKUP(費用需求表[[#This Row],[年齡]],階梯式費用[],2),"")</f>
        <v/>
      </c>
      <c r="C69" s="3" t="str">
        <f>IF(ISNUMBER(費用需求表[[#This Row],[年齡]]),費用需求表[[#This Row],[費用現值]]*(1+通貨膨脹率)^(費用需求表[[#This Row],[年齡]]-現在年齡),"")</f>
        <v/>
      </c>
      <c r="D69" s="3" t="str">
        <f>IF(ISNUMBER(費用需求表[[#This Row],[年齡]]),IF(MOD(費用需求表[[#This Row],[年齡]]-退休年齡,通膨調整年數)=0,D68*通膨調整比例,D68),"")</f>
        <v/>
      </c>
      <c r="E69" s="3" t="str">
        <f>IF(ISNUMBER(費用需求表[[#This Row],[年齡]]),費用需求表[[#This Row],[通膨調整金額]]-費用需求表[[#This Row],[年金]],"")</f>
        <v/>
      </c>
      <c r="F69" s="6"/>
      <c r="G69" s="7">
        <f t="shared" si="2"/>
        <v>75</v>
      </c>
      <c r="H69" s="3">
        <f>IF(ISNUMBER(明細表[[#This Row],[年齡]]),IF(明細表[[#This Row],[年齡]]&lt;退休年齡,IF(明細表[[#This Row],[年齡]]=退休年齡-1,每年投入金額+一次領退休金,每年投入金額),0),"")</f>
        <v>0</v>
      </c>
      <c r="I69" s="3">
        <f>IF(ISNUMBER(明細表[[#This Row],[年齡]]),IF(明細表[[#This Row],[年齡]]&gt;=退休年齡-1,VLOOKUP(明細表[[#This Row],[年齡]]+1,費用需求表[],5,1),0),"")</f>
        <v>962492.25771686668</v>
      </c>
      <c r="J69" s="6">
        <f>IF(ISNUMBER(明細表[[#This Row],[年齡]]),IF(明細表[[#This Row],[年齡]]&gt;=退休年齡,退休後投資報酬率,退休前投資報酬率),"")</f>
        <v>0.05</v>
      </c>
      <c r="K69" s="3">
        <f>IF(ISNUMBER(明細表[[#This Row],[年齡]]),L68*明細表[[#This Row],[投資報酬率]],"")</f>
        <v>648636.45464843092</v>
      </c>
      <c r="L69" s="3">
        <f>IF(ISNUMBER(明細表[[#This Row],[年齡]]),L68+明細表[[#This Row],[投入金額]]+明細表[[#This Row],[收益]]-明細表[[#This Row],[支出金額]],"")</f>
        <v>12658873.289900184</v>
      </c>
    </row>
    <row r="70" spans="1:12" x14ac:dyDescent="0.25">
      <c r="A70" s="7" t="str">
        <f t="shared" si="1"/>
        <v/>
      </c>
      <c r="B70" s="3" t="str">
        <f>IF(ISNUMBER(費用需求表[[#This Row],[年齡]]),VLOOKUP(費用需求表[[#This Row],[年齡]],階梯式費用[],2),"")</f>
        <v/>
      </c>
      <c r="C70" s="3" t="str">
        <f>IF(ISNUMBER(費用需求表[[#This Row],[年齡]]),費用需求表[[#This Row],[費用現值]]*(1+通貨膨脹率)^(費用需求表[[#This Row],[年齡]]-現在年齡),"")</f>
        <v/>
      </c>
      <c r="D70" s="3" t="str">
        <f>IF(ISNUMBER(費用需求表[[#This Row],[年齡]]),IF(MOD(費用需求表[[#This Row],[年齡]]-退休年齡,通膨調整年數)=0,D69*通膨調整比例,D69),"")</f>
        <v/>
      </c>
      <c r="E70" s="3" t="str">
        <f>IF(ISNUMBER(費用需求表[[#This Row],[年齡]]),費用需求表[[#This Row],[通膨調整金額]]-費用需求表[[#This Row],[年金]],"")</f>
        <v/>
      </c>
      <c r="F70" s="6"/>
      <c r="G70" s="7">
        <f t="shared" si="2"/>
        <v>76</v>
      </c>
      <c r="H70" s="3">
        <f>IF(ISNUMBER(明細表[[#This Row],[年齡]]),IF(明細表[[#This Row],[年齡]]&lt;退休年齡,IF(明細表[[#This Row],[年齡]]=退休年齡-1,每年投入金額+一次領退休金,每年投入金額),0),"")</f>
        <v>0</v>
      </c>
      <c r="I70" s="3">
        <f>IF(ISNUMBER(明細表[[#This Row],[年齡]]),IF(明細表[[#This Row],[年齡]]&gt;=退休年齡-1,VLOOKUP(明細表[[#This Row],[年齡]]+1,費用需求表[],5,1),0),"")</f>
        <v>988848.28769755573</v>
      </c>
      <c r="J70" s="6">
        <f>IF(ISNUMBER(明細表[[#This Row],[年齡]]),IF(明細表[[#This Row],[年齡]]&gt;=退休年齡,退休後投資報酬率,退休前投資報酬率),"")</f>
        <v>0.05</v>
      </c>
      <c r="K70" s="3">
        <f>IF(ISNUMBER(明細表[[#This Row],[年齡]]),L69*明細表[[#This Row],[投資報酬率]],"")</f>
        <v>632943.66449500923</v>
      </c>
      <c r="L70" s="3">
        <f>IF(ISNUMBER(明細表[[#This Row],[年齡]]),L69+明細表[[#This Row],[投入金額]]+明細表[[#This Row],[收益]]-明細表[[#This Row],[支出金額]],"")</f>
        <v>12302968.666697638</v>
      </c>
    </row>
    <row r="71" spans="1:12" x14ac:dyDescent="0.25">
      <c r="A71" s="7" t="str">
        <f t="shared" si="1"/>
        <v/>
      </c>
      <c r="B71" s="3" t="str">
        <f>IF(ISNUMBER(費用需求表[[#This Row],[年齡]]),VLOOKUP(費用需求表[[#This Row],[年齡]],階梯式費用[],2),"")</f>
        <v/>
      </c>
      <c r="C71" s="3" t="str">
        <f>IF(ISNUMBER(費用需求表[[#This Row],[年齡]]),費用需求表[[#This Row],[費用現值]]*(1+通貨膨脹率)^(費用需求表[[#This Row],[年齡]]-現在年齡),"")</f>
        <v/>
      </c>
      <c r="D71" s="3" t="str">
        <f>IF(ISNUMBER(費用需求表[[#This Row],[年齡]]),IF(MOD(費用需求表[[#This Row],[年齡]]-退休年齡,通膨調整年數)=0,D70*通膨調整比例,D70),"")</f>
        <v/>
      </c>
      <c r="E71" s="3" t="str">
        <f>IF(ISNUMBER(費用需求表[[#This Row],[年齡]]),費用需求表[[#This Row],[通膨調整金額]]-費用需求表[[#This Row],[年金]],"")</f>
        <v/>
      </c>
      <c r="F71" s="6"/>
      <c r="G71" s="7">
        <f t="shared" si="2"/>
        <v>77</v>
      </c>
      <c r="H71" s="3">
        <f>IF(ISNUMBER(明細表[[#This Row],[年齡]]),IF(明細表[[#This Row],[年齡]]&lt;退休年齡,IF(明細表[[#This Row],[年齡]]=退休年齡-1,每年投入金額+一次領退休金,每年投入金額),0),"")</f>
        <v>0</v>
      </c>
      <c r="I71" s="3">
        <f>IF(ISNUMBER(明細表[[#This Row],[年齡]]),IF(明細表[[#This Row],[年齡]]&gt;=退休年齡-1,VLOOKUP(明細表[[#This Row],[年齡]]+1,費用需求表[],5,1),0),"")</f>
        <v>993983.67023529229</v>
      </c>
      <c r="J71" s="6">
        <f>IF(ISNUMBER(明細表[[#This Row],[年齡]]),IF(明細表[[#This Row],[年齡]]&gt;=退休年齡,退休後投資報酬率,退休前投資報酬率),"")</f>
        <v>0.05</v>
      </c>
      <c r="K71" s="3">
        <f>IF(ISNUMBER(明細表[[#This Row],[年齡]]),L70*明細表[[#This Row],[投資報酬率]],"")</f>
        <v>615148.43333488191</v>
      </c>
      <c r="L71" s="3">
        <f>IF(ISNUMBER(明細表[[#This Row],[年齡]]),L70+明細表[[#This Row],[投入金額]]+明細表[[#This Row],[收益]]-明細表[[#This Row],[支出金額]],"")</f>
        <v>11924133.429797227</v>
      </c>
    </row>
    <row r="72" spans="1:12" x14ac:dyDescent="0.25">
      <c r="A72" s="7" t="str">
        <f t="shared" si="1"/>
        <v/>
      </c>
      <c r="B72" s="3" t="str">
        <f>IF(ISNUMBER(費用需求表[[#This Row],[年齡]]),VLOOKUP(費用需求表[[#This Row],[年齡]],階梯式費用[],2),"")</f>
        <v/>
      </c>
      <c r="C72" s="3" t="str">
        <f>IF(ISNUMBER(費用需求表[[#This Row],[年齡]]),費用需求表[[#This Row],[費用現值]]*(1+通貨膨脹率)^(費用需求表[[#This Row],[年齡]]-現在年齡),"")</f>
        <v/>
      </c>
      <c r="D72" s="3" t="str">
        <f>IF(ISNUMBER(費用需求表[[#This Row],[年齡]]),IF(MOD(費用需求表[[#This Row],[年齡]]-退休年齡,通膨調整年數)=0,D71*通膨調整比例,D71),"")</f>
        <v/>
      </c>
      <c r="E72" s="3" t="str">
        <f>IF(ISNUMBER(費用需求表[[#This Row],[年齡]]),費用需求表[[#This Row],[通膨調整金額]]-費用需求表[[#This Row],[年金]],"")</f>
        <v/>
      </c>
      <c r="F72" s="6"/>
      <c r="G72" s="7">
        <f t="shared" si="2"/>
        <v>78</v>
      </c>
      <c r="H72" s="3">
        <f>IF(ISNUMBER(明細表[[#This Row],[年齡]]),IF(明細表[[#This Row],[年齡]]&lt;退休年齡,IF(明細表[[#This Row],[年齡]]=退休年齡-1,每年投入金額+一次領退休金,每年投入金額),0),"")</f>
        <v>0</v>
      </c>
      <c r="I72" s="3">
        <f>IF(ISNUMBER(明細表[[#This Row],[年齡]]),IF(明細表[[#This Row],[年齡]]&gt;=退休年齡-1,VLOOKUP(明細表[[#This Row],[年齡]]+1,費用需求表[],5,1),0),"")</f>
        <v>1021404.483827201</v>
      </c>
      <c r="J72" s="6">
        <f>IF(ISNUMBER(明細表[[#This Row],[年齡]]),IF(明細表[[#This Row],[年齡]]&gt;=退休年齡,退休後投資報酬率,退休前投資報酬率),"")</f>
        <v>0.05</v>
      </c>
      <c r="K72" s="3">
        <f>IF(ISNUMBER(明細表[[#This Row],[年齡]]),L71*明細表[[#This Row],[投資報酬率]],"")</f>
        <v>596206.67148986133</v>
      </c>
      <c r="L72" s="3">
        <f>IF(ISNUMBER(明細表[[#This Row],[年齡]]),L71+明細表[[#This Row],[投入金額]]+明細表[[#This Row],[收益]]-明細表[[#This Row],[支出金額]],"")</f>
        <v>11498935.617459886</v>
      </c>
    </row>
    <row r="73" spans="1:12" x14ac:dyDescent="0.25">
      <c r="A73" s="7" t="str">
        <f t="shared" si="1"/>
        <v/>
      </c>
      <c r="B73" s="3" t="str">
        <f>IF(ISNUMBER(費用需求表[[#This Row],[年齡]]),VLOOKUP(費用需求表[[#This Row],[年齡]],階梯式費用[],2),"")</f>
        <v/>
      </c>
      <c r="C73" s="3" t="str">
        <f>IF(ISNUMBER(費用需求表[[#This Row],[年齡]]),費用需求表[[#This Row],[費用現值]]*(1+通貨膨脹率)^(費用需求表[[#This Row],[年齡]]-現在年齡),"")</f>
        <v/>
      </c>
      <c r="D73" s="3" t="str">
        <f>IF(ISNUMBER(費用需求表[[#This Row],[年齡]]),IF(MOD(費用需求表[[#This Row],[年齡]]-退休年齡,通膨調整年數)=0,D72*通膨調整比例,D72),"")</f>
        <v/>
      </c>
      <c r="E73" s="3" t="str">
        <f>IF(ISNUMBER(費用需求表[[#This Row],[年齡]]),費用需求表[[#This Row],[通膨調整金額]]-費用需求表[[#This Row],[年金]],"")</f>
        <v/>
      </c>
      <c r="F73" s="6"/>
      <c r="G73" s="7">
        <f t="shared" si="2"/>
        <v>79</v>
      </c>
      <c r="H73" s="3">
        <f>IF(ISNUMBER(明細表[[#This Row],[年齡]]),IF(明細表[[#This Row],[年齡]]&lt;退休年齡,IF(明細表[[#This Row],[年齡]]=退休年齡-1,每年投入金額+一次領退休金,每年投入金額),0),"")</f>
        <v>0</v>
      </c>
      <c r="I73" s="3">
        <f>IF(ISNUMBER(明細表[[#This Row],[年齡]]),IF(明細表[[#This Row],[年齡]]&gt;=退休年齡-1,VLOOKUP(明細表[[#This Row],[年齡]]+1,費用需求表[],5,1),0),"")</f>
        <v>764087.56908073067</v>
      </c>
      <c r="J73" s="6">
        <f>IF(ISNUMBER(明細表[[#This Row],[年齡]]),IF(明細表[[#This Row],[年齡]]&gt;=退休年齡,退休後投資報酬率,退休前投資報酬率),"")</f>
        <v>0.05</v>
      </c>
      <c r="K73" s="3">
        <f>IF(ISNUMBER(明細表[[#This Row],[年齡]]),L72*明細表[[#This Row],[投資報酬率]],"")</f>
        <v>574946.78087299434</v>
      </c>
      <c r="L73" s="3">
        <f>IF(ISNUMBER(明細表[[#This Row],[年齡]]),L72+明細表[[#This Row],[投入金額]]+明細表[[#This Row],[收益]]-明細表[[#This Row],[支出金額]],"")</f>
        <v>11309794.82925215</v>
      </c>
    </row>
    <row r="74" spans="1:12" x14ac:dyDescent="0.25">
      <c r="A74" s="7" t="str">
        <f t="shared" si="1"/>
        <v/>
      </c>
      <c r="B74" s="3" t="str">
        <f>IF(ISNUMBER(費用需求表[[#This Row],[年齡]]),VLOOKUP(費用需求表[[#This Row],[年齡]],階梯式費用[],2),"")</f>
        <v/>
      </c>
      <c r="C74" s="3" t="str">
        <f>IF(ISNUMBER(費用需求表[[#This Row],[年齡]]),費用需求表[[#This Row],[費用現值]]*(1+通貨膨脹率)^(費用需求表[[#This Row],[年齡]]-現在年齡),"")</f>
        <v/>
      </c>
      <c r="D74" s="3" t="str">
        <f>IF(ISNUMBER(費用需求表[[#This Row],[年齡]]),IF(MOD(費用需求表[[#This Row],[年齡]]-退休年齡,通膨調整年數)=0,D73*通膨調整比例,D73),"")</f>
        <v/>
      </c>
      <c r="E74" s="3" t="str">
        <f>IF(ISNUMBER(費用需求表[[#This Row],[年齡]]),費用需求表[[#This Row],[通膨調整金額]]-費用需求表[[#This Row],[年金]],"")</f>
        <v/>
      </c>
      <c r="F74" s="6"/>
      <c r="G74" s="7">
        <f t="shared" si="2"/>
        <v>80</v>
      </c>
      <c r="H74" s="3">
        <f>IF(ISNUMBER(明細表[[#This Row],[年齡]]),IF(明細表[[#This Row],[年齡]]&lt;退休年齡,IF(明細表[[#This Row],[年齡]]=退休年齡-1,每年投入金額+一次領退休金,每年投入金額),0),"")</f>
        <v>0</v>
      </c>
      <c r="I74" s="3">
        <f>IF(ISNUMBER(明細表[[#This Row],[年齡]]),IF(明細表[[#This Row],[年齡]]&gt;=退休年齡-1,VLOOKUP(明細表[[#This Row],[年齡]]+1,費用需求表[],5,1),0),"")</f>
        <v>763831.55522063281</v>
      </c>
      <c r="J74" s="6">
        <f>IF(ISNUMBER(明細表[[#This Row],[年齡]]),IF(明細表[[#This Row],[年齡]]&gt;=退休年齡,退休後投資報酬率,退休前投資報酬率),"")</f>
        <v>0.05</v>
      </c>
      <c r="K74" s="3">
        <f>IF(ISNUMBER(明細表[[#This Row],[年齡]]),L73*明細表[[#This Row],[投資報酬率]],"")</f>
        <v>565489.74146260752</v>
      </c>
      <c r="L74" s="3">
        <f>IF(ISNUMBER(明細表[[#This Row],[年齡]]),L73+明細表[[#This Row],[投入金額]]+明細表[[#This Row],[收益]]-明細表[[#This Row],[支出金額]],"")</f>
        <v>11111453.015494123</v>
      </c>
    </row>
    <row r="75" spans="1:12" x14ac:dyDescent="0.25">
      <c r="A75" s="7" t="str">
        <f t="shared" si="1"/>
        <v/>
      </c>
      <c r="B75" s="3" t="str">
        <f>IF(ISNUMBER(費用需求表[[#This Row],[年齡]]),VLOOKUP(費用需求表[[#This Row],[年齡]],階梯式費用[],2),"")</f>
        <v/>
      </c>
      <c r="C75" s="3" t="str">
        <f>IF(ISNUMBER(費用需求表[[#This Row],[年齡]]),費用需求表[[#This Row],[費用現值]]*(1+通貨膨脹率)^(費用需求表[[#This Row],[年齡]]-現在年齡),"")</f>
        <v/>
      </c>
      <c r="D75" s="3" t="str">
        <f>IF(ISNUMBER(費用需求表[[#This Row],[年齡]]),IF(MOD(費用需求表[[#This Row],[年齡]]-退休年齡,通膨調整年數)=0,D74*通膨調整比例,D74),"")</f>
        <v/>
      </c>
      <c r="E75" s="3" t="str">
        <f>IF(ISNUMBER(費用需求表[[#This Row],[年齡]]),費用需求表[[#This Row],[通膨調整金額]]-費用需求表[[#This Row],[年金]],"")</f>
        <v/>
      </c>
      <c r="F75" s="6"/>
      <c r="G75" s="7">
        <f t="shared" si="2"/>
        <v>81</v>
      </c>
      <c r="H75" s="3">
        <f>IF(ISNUMBER(明細表[[#This Row],[年齡]]),IF(明細表[[#This Row],[年齡]]&lt;退休年齡,IF(明細表[[#This Row],[年齡]]=退休年齡-1,每年投入金額+一次領退休金,每年投入金額),0),"")</f>
        <v>0</v>
      </c>
      <c r="I75" s="3">
        <f>IF(ISNUMBER(明細表[[#This Row],[年齡]]),IF(明細表[[#This Row],[年齡]]&gt;=退休年齡-1,VLOOKUP(明細表[[#This Row],[年齡]]+1,費用需求表[],5,1),0),"")</f>
        <v>787110.90462082648</v>
      </c>
      <c r="J75" s="6">
        <f>IF(ISNUMBER(明細表[[#This Row],[年齡]]),IF(明細表[[#This Row],[年齡]]&gt;=退休年齡,退休後投資報酬率,退休前投資報酬率),"")</f>
        <v>0.05</v>
      </c>
      <c r="K75" s="3">
        <f>IF(ISNUMBER(明細表[[#This Row],[年齡]]),L74*明細表[[#This Row],[投資報酬率]],"")</f>
        <v>555572.65077470616</v>
      </c>
      <c r="L75" s="3">
        <f>IF(ISNUMBER(明細表[[#This Row],[年齡]]),L74+明細表[[#This Row],[投入金額]]+明細表[[#This Row],[收益]]-明細表[[#This Row],[支出金額]],"")</f>
        <v>10879914.761648003</v>
      </c>
    </row>
    <row r="76" spans="1:12" x14ac:dyDescent="0.25">
      <c r="A76" s="7" t="str">
        <f t="shared" si="1"/>
        <v/>
      </c>
      <c r="B76" s="3" t="str">
        <f>IF(ISNUMBER(費用需求表[[#This Row],[年齡]]),VLOOKUP(費用需求表[[#This Row],[年齡]],階梯式費用[],2),"")</f>
        <v/>
      </c>
      <c r="C76" s="3" t="str">
        <f>IF(ISNUMBER(費用需求表[[#This Row],[年齡]]),費用需求表[[#This Row],[費用現值]]*(1+通貨膨脹率)^(費用需求表[[#This Row],[年齡]]-現在年齡),"")</f>
        <v/>
      </c>
      <c r="D76" s="3" t="str">
        <f>IF(ISNUMBER(費用需求表[[#This Row],[年齡]]),IF(MOD(費用需求表[[#This Row],[年齡]]-退休年齡,通膨調整年數)=0,D75*通膨調整比例,D75),"")</f>
        <v/>
      </c>
      <c r="E76" s="3" t="str">
        <f>IF(ISNUMBER(費用需求表[[#This Row],[年齡]]),費用需求表[[#This Row],[通膨調整金額]]-費用需求表[[#This Row],[年金]],"")</f>
        <v/>
      </c>
      <c r="F76" s="6"/>
      <c r="G76" s="7">
        <f t="shared" si="2"/>
        <v>82</v>
      </c>
      <c r="H76" s="3">
        <f>IF(ISNUMBER(明細表[[#This Row],[年齡]]),IF(明細表[[#This Row],[年齡]]&lt;退休年齡,IF(明細表[[#This Row],[年齡]]=退休年齡-1,每年投入金額+一次領退休金,每年投入金額),0),"")</f>
        <v>0</v>
      </c>
      <c r="I76" s="3">
        <f>IF(ISNUMBER(明細表[[#This Row],[年齡]]),IF(明細表[[#This Row],[年齡]]&gt;=退休年齡-1,VLOOKUP(明細表[[#This Row],[年齡]]+1,費用需求表[],5,1),0),"")</f>
        <v>810855.84100902406</v>
      </c>
      <c r="J76" s="6">
        <f>IF(ISNUMBER(明細表[[#This Row],[年齡]]),IF(明細表[[#This Row],[年齡]]&gt;=退休年齡,退休後投資報酬率,退休前投資報酬率),"")</f>
        <v>0.05</v>
      </c>
      <c r="K76" s="3">
        <f>IF(ISNUMBER(明細表[[#This Row],[年齡]]),L75*明細表[[#This Row],[投資報酬率]],"")</f>
        <v>543995.73808240017</v>
      </c>
      <c r="L76" s="3">
        <f>IF(ISNUMBER(明細表[[#This Row],[年齡]]),L75+明細表[[#This Row],[投入金額]]+明細表[[#This Row],[收益]]-明細表[[#This Row],[支出金額]],"")</f>
        <v>10613054.658721378</v>
      </c>
    </row>
    <row r="77" spans="1:12" x14ac:dyDescent="0.25">
      <c r="A77" s="7" t="str">
        <f t="shared" si="1"/>
        <v/>
      </c>
      <c r="B77" s="3" t="str">
        <f>IF(ISNUMBER(費用需求表[[#This Row],[年齡]]),VLOOKUP(費用需求表[[#This Row],[年齡]],階梯式費用[],2),"")</f>
        <v/>
      </c>
      <c r="C77" s="3" t="str">
        <f>IF(ISNUMBER(費用需求表[[#This Row],[年齡]]),費用需求表[[#This Row],[費用現值]]*(1+通貨膨脹率)^(費用需求表[[#This Row],[年齡]]-現在年齡),"")</f>
        <v/>
      </c>
      <c r="D77" s="3" t="str">
        <f>IF(ISNUMBER(費用需求表[[#This Row],[年齡]]),IF(MOD(費用需求表[[#This Row],[年齡]]-退休年齡,通膨調整年數)=0,D76*通膨調整比例,D76),"")</f>
        <v/>
      </c>
      <c r="E77" s="3" t="str">
        <f>IF(ISNUMBER(費用需求表[[#This Row],[年齡]]),費用需求表[[#This Row],[通膨調整金額]]-費用需求表[[#This Row],[年金]],"")</f>
        <v/>
      </c>
      <c r="F77" s="6"/>
      <c r="G77" s="7">
        <f t="shared" si="2"/>
        <v>83</v>
      </c>
      <c r="H77" s="3">
        <f>IF(ISNUMBER(明細表[[#This Row],[年齡]]),IF(明細表[[#This Row],[年齡]]&lt;退休年齡,IF(明細表[[#This Row],[年齡]]=退休年齡-1,每年投入金額+一次領退休金,每年投入金額),0),"")</f>
        <v>0</v>
      </c>
      <c r="I77" s="3">
        <f>IF(ISNUMBER(明細表[[#This Row],[年齡]]),IF(明細表[[#This Row],[年齡]]&gt;=退休年齡-1,VLOOKUP(明細表[[#This Row],[年齡]]+1,費用需求表[],5,1),0),"")</f>
        <v>810584.15705257724</v>
      </c>
      <c r="J77" s="6">
        <f>IF(ISNUMBER(明細表[[#This Row],[年齡]]),IF(明細表[[#This Row],[年齡]]&gt;=退休年齡,退休後投資報酬率,退休前投資報酬率),"")</f>
        <v>0.05</v>
      </c>
      <c r="K77" s="3">
        <f>IF(ISNUMBER(明細表[[#This Row],[年齡]]),L76*明細表[[#This Row],[投資報酬率]],"")</f>
        <v>530652.7329360689</v>
      </c>
      <c r="L77" s="3">
        <f>IF(ISNUMBER(明細表[[#This Row],[年齡]]),L76+明細表[[#This Row],[投入金額]]+明細表[[#This Row],[收益]]-明細表[[#This Row],[支出金額]],"")</f>
        <v>10333123.234604871</v>
      </c>
    </row>
    <row r="78" spans="1:12" x14ac:dyDescent="0.25">
      <c r="A78" s="7" t="str">
        <f t="shared" si="1"/>
        <v/>
      </c>
      <c r="B78" s="3" t="str">
        <f>IF(ISNUMBER(費用需求表[[#This Row],[年齡]]),VLOOKUP(費用需求表[[#This Row],[年齡]],階梯式費用[],2),"")</f>
        <v/>
      </c>
      <c r="C78" s="3" t="str">
        <f>IF(ISNUMBER(費用需求表[[#This Row],[年齡]]),費用需求表[[#This Row],[費用現值]]*(1+通貨膨脹率)^(費用需求表[[#This Row],[年齡]]-現在年齡),"")</f>
        <v/>
      </c>
      <c r="D78" s="3" t="str">
        <f>IF(ISNUMBER(費用需求表[[#This Row],[年齡]]),IF(MOD(費用需求表[[#This Row],[年齡]]-退休年齡,通膨調整年數)=0,D77*通膨調整比例,D77),"")</f>
        <v/>
      </c>
      <c r="E78" s="3" t="str">
        <f>IF(ISNUMBER(費用需求表[[#This Row],[年齡]]),費用需求表[[#This Row],[通膨調整金額]]-費用需求表[[#This Row],[年金]],"")</f>
        <v/>
      </c>
      <c r="F78" s="6"/>
      <c r="G78" s="7">
        <f t="shared" si="2"/>
        <v>84</v>
      </c>
      <c r="H78" s="3">
        <f>IF(ISNUMBER(明細表[[#This Row],[年齡]]),IF(明細表[[#This Row],[年齡]]&lt;退休年齡,IF(明細表[[#This Row],[年齡]]=退休年齡-1,每年投入金額+一次領退休金,每年投入金額),0),"")</f>
        <v>0</v>
      </c>
      <c r="I78" s="3">
        <f>IF(ISNUMBER(明細表[[#This Row],[年齡]]),IF(明細表[[#This Row],[年齡]]&gt;=退休年齡-1,VLOOKUP(明細表[[#This Row],[年齡]]+1,費用需求表[],5,1),0),"")</f>
        <v>835288.38887085835</v>
      </c>
      <c r="J78" s="6">
        <f>IF(ISNUMBER(明細表[[#This Row],[年齡]]),IF(明細表[[#This Row],[年齡]]&gt;=退休年齡,退休後投資報酬率,退休前投資報酬率),"")</f>
        <v>0.05</v>
      </c>
      <c r="K78" s="3">
        <f>IF(ISNUMBER(明細表[[#This Row],[年齡]]),L77*明細表[[#This Row],[投資報酬率]],"")</f>
        <v>516656.16173024359</v>
      </c>
      <c r="L78" s="3">
        <f>IF(ISNUMBER(明細表[[#This Row],[年齡]]),L77+明細表[[#This Row],[投入金額]]+明細表[[#This Row],[收益]]-明細表[[#This Row],[支出金額]],"")</f>
        <v>10014491.007464256</v>
      </c>
    </row>
    <row r="79" spans="1:12" x14ac:dyDescent="0.25">
      <c r="A79" s="7" t="str">
        <f t="shared" si="1"/>
        <v/>
      </c>
      <c r="B79" s="3" t="str">
        <f>IF(ISNUMBER(費用需求表[[#This Row],[年齡]]),VLOOKUP(費用需求表[[#This Row],[年齡]],階梯式費用[],2),"")</f>
        <v/>
      </c>
      <c r="C79" s="3" t="str">
        <f>IF(ISNUMBER(費用需求表[[#This Row],[年齡]]),費用需求表[[#This Row],[費用現值]]*(1+通貨膨脹率)^(費用需求表[[#This Row],[年齡]]-現在年齡),"")</f>
        <v/>
      </c>
      <c r="D79" s="3" t="str">
        <f>IF(ISNUMBER(費用需求表[[#This Row],[年齡]]),IF(MOD(費用需求表[[#This Row],[年齡]]-退休年齡,通膨調整年數)=0,D78*通膨調整比例,D78),"")</f>
        <v/>
      </c>
      <c r="E79" s="3" t="str">
        <f>IF(ISNUMBER(費用需求表[[#This Row],[年齡]]),費用需求表[[#This Row],[通膨調整金額]]-費用需求表[[#This Row],[年金]],"")</f>
        <v/>
      </c>
      <c r="F79" s="6"/>
      <c r="G79" s="7">
        <f t="shared" si="2"/>
        <v>85</v>
      </c>
      <c r="H79" s="3">
        <f>IF(ISNUMBER(明細表[[#This Row],[年齡]]),IF(明細表[[#This Row],[年齡]]&lt;退休年齡,IF(明細表[[#This Row],[年齡]]=退休年齡-1,每年投入金額+一次領退休金,每年投入金額),0),"")</f>
        <v>0</v>
      </c>
      <c r="I79" s="3">
        <f>IF(ISNUMBER(明細表[[#This Row],[年齡]]),IF(明細表[[#This Row],[年齡]]&gt;=退休年齡-1,VLOOKUP(明細表[[#This Row],[年齡]]+1,費用需求表[],5,1),0),"")</f>
        <v>860486.70532550453</v>
      </c>
      <c r="J79" s="6">
        <f>IF(ISNUMBER(明細表[[#This Row],[年齡]]),IF(明細表[[#This Row],[年齡]]&gt;=退休年齡,退休後投資報酬率,退休前投資報酬率),"")</f>
        <v>0.05</v>
      </c>
      <c r="K79" s="3">
        <f>IF(ISNUMBER(明細表[[#This Row],[年齡]]),L78*明細表[[#This Row],[投資報酬率]],"")</f>
        <v>500724.55037321284</v>
      </c>
      <c r="L79" s="3">
        <f>IF(ISNUMBER(明細表[[#This Row],[年齡]]),L78+明細表[[#This Row],[投入金額]]+明細表[[#This Row],[收益]]-明細表[[#This Row],[支出金額]],"")</f>
        <v>9654728.8525119647</v>
      </c>
    </row>
    <row r="80" spans="1:12" x14ac:dyDescent="0.25">
      <c r="A80" s="7" t="str">
        <f t="shared" si="1"/>
        <v/>
      </c>
      <c r="B80" s="3" t="str">
        <f>IF(ISNUMBER(費用需求表[[#This Row],[年齡]]),VLOOKUP(費用需求表[[#This Row],[年齡]],階梯式費用[],2),"")</f>
        <v/>
      </c>
      <c r="C80" s="3" t="str">
        <f>IF(ISNUMBER(費用需求表[[#This Row],[年齡]]),費用需求表[[#This Row],[費用現值]]*(1+通貨膨脹率)^(費用需求表[[#This Row],[年齡]]-現在年齡),"")</f>
        <v/>
      </c>
      <c r="D80" s="3" t="str">
        <f>IF(ISNUMBER(費用需求表[[#This Row],[年齡]]),IF(MOD(費用需求表[[#This Row],[年齡]]-退休年齡,通膨調整年數)=0,D79*通膨調整比例,D79),"")</f>
        <v/>
      </c>
      <c r="E80" s="3" t="str">
        <f>IF(ISNUMBER(費用需求表[[#This Row],[年齡]]),費用需求表[[#This Row],[通膨調整金額]]-費用需求表[[#This Row],[年金]],"")</f>
        <v/>
      </c>
      <c r="F80" s="6"/>
      <c r="G80" s="7">
        <f t="shared" si="2"/>
        <v>86</v>
      </c>
      <c r="H80" s="3">
        <f>IF(ISNUMBER(明細表[[#This Row],[年齡]]),IF(明細表[[#This Row],[年齡]]&lt;退休年齡,IF(明細表[[#This Row],[年齡]]=退休年齡-1,每年投入金額+一次領退休金,每年投入金額),0),"")</f>
        <v>0</v>
      </c>
      <c r="I80" s="3">
        <f>IF(ISNUMBER(明細表[[#This Row],[年齡]]),IF(明細表[[#This Row],[年齡]]&gt;=退休年齡-1,VLOOKUP(明細表[[#This Row],[年齡]]+1,費用需求表[],5,1),0),"")</f>
        <v>860198.3921374518</v>
      </c>
      <c r="J80" s="6">
        <f>IF(ISNUMBER(明細表[[#This Row],[年齡]]),IF(明細表[[#This Row],[年齡]]&gt;=退休年齡,退休後投資報酬率,退休前投資報酬率),"")</f>
        <v>0.05</v>
      </c>
      <c r="K80" s="3">
        <f>IF(ISNUMBER(明細表[[#This Row],[年齡]]),L79*明細表[[#This Row],[投資報酬率]],"")</f>
        <v>482736.44262559828</v>
      </c>
      <c r="L80" s="3">
        <f>IF(ISNUMBER(明細表[[#This Row],[年齡]]),L79+明細表[[#This Row],[投入金額]]+明細表[[#This Row],[收益]]-明細表[[#This Row],[支出金額]],"")</f>
        <v>9277266.9030001126</v>
      </c>
    </row>
    <row r="81" spans="1:12" x14ac:dyDescent="0.25">
      <c r="A81" s="7" t="str">
        <f t="shared" si="1"/>
        <v/>
      </c>
      <c r="B81" s="3" t="str">
        <f>IF(ISNUMBER(費用需求表[[#This Row],[年齡]]),VLOOKUP(費用需求表[[#This Row],[年齡]],階梯式費用[],2),"")</f>
        <v/>
      </c>
      <c r="C81" s="3" t="str">
        <f>IF(ISNUMBER(費用需求表[[#This Row],[年齡]]),費用需求表[[#This Row],[費用現值]]*(1+通貨膨脹率)^(費用需求表[[#This Row],[年齡]]-現在年齡),"")</f>
        <v/>
      </c>
      <c r="D81" s="3" t="str">
        <f>IF(ISNUMBER(費用需求表[[#This Row],[年齡]]),IF(MOD(費用需求表[[#This Row],[年齡]]-退休年齡,通膨調整年數)=0,D80*通膨調整比例,D80),"")</f>
        <v/>
      </c>
      <c r="E81" s="3" t="str">
        <f>IF(ISNUMBER(費用需求表[[#This Row],[年齡]]),費用需求表[[#This Row],[通膨調整金額]]-費用需求表[[#This Row],[年金]],"")</f>
        <v/>
      </c>
      <c r="F81" s="6"/>
      <c r="G81" s="7">
        <f t="shared" si="2"/>
        <v>87</v>
      </c>
      <c r="H81" s="3">
        <f>IF(ISNUMBER(明細表[[#This Row],[年齡]]),IF(明細表[[#This Row],[年齡]]&lt;退休年齡,IF(明細表[[#This Row],[年齡]]=退休年齡-1,每年投入金額+一次領退休金,每年投入金額),0),"")</f>
        <v>0</v>
      </c>
      <c r="I81" s="3">
        <f>IF(ISNUMBER(明細表[[#This Row],[年齡]]),IF(明細表[[#This Row],[年齡]]&gt;=退休年齡-1,VLOOKUP(明細表[[#This Row],[年齡]]+1,費用需求表[],5,1),0),"")</f>
        <v>886414.72057686537</v>
      </c>
      <c r="J81" s="6">
        <f>IF(ISNUMBER(明細表[[#This Row],[年齡]]),IF(明細表[[#This Row],[年齡]]&gt;=退休年齡,退休後投資報酬率,退休前投資報酬率),"")</f>
        <v>0.05</v>
      </c>
      <c r="K81" s="3">
        <f>IF(ISNUMBER(明細表[[#This Row],[年齡]]),L80*明細表[[#This Row],[投資報酬率]],"")</f>
        <v>463863.34515000565</v>
      </c>
      <c r="L81" s="3">
        <f>IF(ISNUMBER(明細表[[#This Row],[年齡]]),L80+明細表[[#This Row],[投入金額]]+明細表[[#This Row],[收益]]-明細表[[#This Row],[支出金額]],"")</f>
        <v>8854715.5275732521</v>
      </c>
    </row>
    <row r="82" spans="1:12" x14ac:dyDescent="0.25">
      <c r="A82" s="7" t="str">
        <f t="shared" si="1"/>
        <v/>
      </c>
      <c r="B82" s="3" t="str">
        <f>IF(ISNUMBER(費用需求表[[#This Row],[年齡]]),VLOOKUP(費用需求表[[#This Row],[年齡]],階梯式費用[],2),"")</f>
        <v/>
      </c>
      <c r="C82" s="3" t="str">
        <f>IF(ISNUMBER(費用需求表[[#This Row],[年齡]]),費用需求表[[#This Row],[費用現值]]*(1+通貨膨脹率)^(費用需求表[[#This Row],[年齡]]-現在年齡),"")</f>
        <v/>
      </c>
      <c r="D82" s="3" t="str">
        <f>IF(ISNUMBER(費用需求表[[#This Row],[年齡]]),IF(MOD(費用需求表[[#This Row],[年齡]]-退休年齡,通膨調整年數)=0,D81*通膨調整比例,D81),"")</f>
        <v/>
      </c>
      <c r="E82" s="3" t="str">
        <f>IF(ISNUMBER(費用需求表[[#This Row],[年齡]]),費用需求表[[#This Row],[通膨調整金額]]-費用需求表[[#This Row],[年金]],"")</f>
        <v/>
      </c>
      <c r="F82" s="6"/>
      <c r="G82" s="7">
        <f t="shared" si="2"/>
        <v>88</v>
      </c>
      <c r="H82" s="3">
        <f>IF(ISNUMBER(明細表[[#This Row],[年齡]]),IF(明細表[[#This Row],[年齡]]&lt;退休年齡,IF(明細表[[#This Row],[年齡]]=退休年齡-1,每年投入金額+一次領退休金,每年投入金額),0),"")</f>
        <v>0</v>
      </c>
      <c r="I82" s="3">
        <f>IF(ISNUMBER(明細表[[#This Row],[年齡]]),IF(明細表[[#This Row],[年齡]]&gt;=退休年齡-1,VLOOKUP(明細表[[#This Row],[年齡]]+1,費用需求表[],5,1),0),"")</f>
        <v>913155.37558506802</v>
      </c>
      <c r="J82" s="6">
        <f>IF(ISNUMBER(明細表[[#This Row],[年齡]]),IF(明細表[[#This Row],[年齡]]&gt;=退休年齡,退休後投資報酬率,退休前投資報酬率),"")</f>
        <v>0.05</v>
      </c>
      <c r="K82" s="3">
        <f>IF(ISNUMBER(明細表[[#This Row],[年齡]]),L81*明細表[[#This Row],[投資報酬率]],"")</f>
        <v>442735.77637866262</v>
      </c>
      <c r="L82" s="3">
        <f>IF(ISNUMBER(明細表[[#This Row],[年齡]]),L81+明細表[[#This Row],[投入金額]]+明細表[[#This Row],[收益]]-明細表[[#This Row],[支出金額]],"")</f>
        <v>8384295.9283668473</v>
      </c>
    </row>
    <row r="83" spans="1:12" x14ac:dyDescent="0.25">
      <c r="A83" s="7" t="str">
        <f t="shared" si="1"/>
        <v/>
      </c>
      <c r="B83" s="3" t="str">
        <f>IF(ISNUMBER(費用需求表[[#This Row],[年齡]]),VLOOKUP(費用需求表[[#This Row],[年齡]],階梯式費用[],2),"")</f>
        <v/>
      </c>
      <c r="C83" s="3" t="str">
        <f>IF(ISNUMBER(費用需求表[[#This Row],[年齡]]),費用需求表[[#This Row],[費用現值]]*(1+通貨膨脹率)^(費用需求表[[#This Row],[年齡]]-現在年齡),"")</f>
        <v/>
      </c>
      <c r="D83" s="3" t="str">
        <f>IF(ISNUMBER(費用需求表[[#This Row],[年齡]]),IF(MOD(費用需求表[[#This Row],[年齡]]-退休年齡,通膨調整年數)=0,D82*通膨調整比例,D82),"")</f>
        <v/>
      </c>
      <c r="E83" s="3" t="str">
        <f>IF(ISNUMBER(費用需求表[[#This Row],[年齡]]),費用需求表[[#This Row],[通膨調整金額]]-費用需求表[[#This Row],[年金]],"")</f>
        <v/>
      </c>
      <c r="F83" s="6"/>
      <c r="G83" s="7">
        <f t="shared" si="2"/>
        <v>89</v>
      </c>
      <c r="H83" s="3">
        <f>IF(ISNUMBER(明細表[[#This Row],[年齡]]),IF(明細表[[#This Row],[年齡]]&lt;退休年齡,IF(明細表[[#This Row],[年齡]]=退休年齡-1,每年投入金額+一次領退休金,每年投入金額),0),"")</f>
        <v>0</v>
      </c>
      <c r="I83" s="3">
        <f>IF(ISNUMBER(明細表[[#This Row],[年齡]]),IF(明細表[[#This Row],[年齡]]&gt;=退休年齡-1,VLOOKUP(明細表[[#This Row],[年齡]]+1,費用需求表[],5,1),0),"")</f>
        <v>912849.41532340087</v>
      </c>
      <c r="J83" s="6">
        <f>IF(ISNUMBER(明細表[[#This Row],[年齡]]),IF(明細表[[#This Row],[年齡]]&gt;=退休年齡,退休後投資報酬率,退休前投資報酬率),"")</f>
        <v>0.05</v>
      </c>
      <c r="K83" s="3">
        <f>IF(ISNUMBER(明細表[[#This Row],[年齡]]),L82*明細表[[#This Row],[投資報酬率]],"")</f>
        <v>419214.79641834239</v>
      </c>
      <c r="L83" s="3">
        <f>IF(ISNUMBER(明細表[[#This Row],[年齡]]),L82+明細表[[#This Row],[投入金額]]+明細表[[#This Row],[收益]]-明細表[[#This Row],[支出金額]],"")</f>
        <v>7890661.3094617892</v>
      </c>
    </row>
    <row r="84" spans="1:12" x14ac:dyDescent="0.25">
      <c r="A84" s="7" t="str">
        <f t="shared" si="1"/>
        <v/>
      </c>
      <c r="B84" s="3" t="str">
        <f>IF(ISNUMBER(費用需求表[[#This Row],[年齡]]),VLOOKUP(費用需求表[[#This Row],[年齡]],階梯式費用[],2),"")</f>
        <v/>
      </c>
      <c r="C84" s="3" t="str">
        <f>IF(ISNUMBER(費用需求表[[#This Row],[年齡]]),費用需求表[[#This Row],[費用現值]]*(1+通貨膨脹率)^(費用需求表[[#This Row],[年齡]]-現在年齡),"")</f>
        <v/>
      </c>
      <c r="D84" s="3" t="str">
        <f>IF(ISNUMBER(費用需求表[[#This Row],[年齡]]),IF(MOD(費用需求表[[#This Row],[年齡]]-退休年齡,通膨調整年數)=0,D83*通膨調整比例,D83),"")</f>
        <v/>
      </c>
      <c r="E84" s="3" t="str">
        <f>IF(ISNUMBER(費用需求表[[#This Row],[年齡]]),費用需求表[[#This Row],[通膨調整金額]]-費用需求表[[#This Row],[年金]],"")</f>
        <v/>
      </c>
      <c r="F84" s="6"/>
      <c r="G84" s="7">
        <f t="shared" si="2"/>
        <v>90</v>
      </c>
      <c r="H84" s="3">
        <f>IF(ISNUMBER(明細表[[#This Row],[年齡]]),IF(明細表[[#This Row],[年齡]]&lt;退休年齡,IF(明細表[[#This Row],[年齡]]=退休年齡-1,每年投入金額+一次領退休金,每年投入金額),0),"")</f>
        <v>0</v>
      </c>
      <c r="I84" s="3">
        <f>IF(ISNUMBER(明細表[[#This Row],[年齡]]),IF(明細表[[#This Row],[年齡]]&gt;=退休年齡-1,VLOOKUP(明細表[[#This Row],[年齡]]+1,費用需求表[],5,1),0),"")</f>
        <v>940670.39279393456</v>
      </c>
      <c r="J84" s="6">
        <f>IF(ISNUMBER(明細表[[#This Row],[年齡]]),IF(明細表[[#This Row],[年齡]]&gt;=退休年齡,退休後投資報酬率,退休前投資報酬率),"")</f>
        <v>0.05</v>
      </c>
      <c r="K84" s="3">
        <f>IF(ISNUMBER(明細表[[#This Row],[年齡]]),L83*明細表[[#This Row],[投資報酬率]],"")</f>
        <v>394533.06547308946</v>
      </c>
      <c r="L84" s="3">
        <f>IF(ISNUMBER(明細表[[#This Row],[年齡]]),L83+明細表[[#This Row],[投入金額]]+明細表[[#This Row],[收益]]-明細表[[#This Row],[支出金額]],"")</f>
        <v>7344523.9821409434</v>
      </c>
    </row>
    <row r="85" spans="1:12" x14ac:dyDescent="0.25">
      <c r="A85" s="7" t="str">
        <f t="shared" ref="A85:A88" si="3">IF(A84&lt;100,A84+1,"")</f>
        <v/>
      </c>
      <c r="B85" s="3" t="str">
        <f>IF(ISNUMBER(費用需求表[[#This Row],[年齡]]),VLOOKUP(費用需求表[[#This Row],[年齡]],階梯式費用[],2),"")</f>
        <v/>
      </c>
      <c r="C85" s="3" t="str">
        <f>IF(ISNUMBER(費用需求表[[#This Row],[年齡]]),費用需求表[[#This Row],[費用現值]]*(1+通貨膨脹率)^(費用需求表[[#This Row],[年齡]]-現在年齡),"")</f>
        <v/>
      </c>
      <c r="D85" s="3" t="str">
        <f>IF(ISNUMBER(費用需求表[[#This Row],[年齡]]),IF(MOD(費用需求表[[#This Row],[年齡]]-退休年齡,通膨調整年數)=0,D84*通膨調整比例,D84),"")</f>
        <v/>
      </c>
      <c r="E85" s="3" t="str">
        <f>IF(ISNUMBER(費用需求表[[#This Row],[年齡]]),費用需求表[[#This Row],[通膨調整金額]]-費用需求表[[#This Row],[年金]],"")</f>
        <v/>
      </c>
      <c r="F85" s="6"/>
      <c r="G85" s="7">
        <f t="shared" ref="G85:G98" si="4">IF(G84&lt;99,G84+1,"")</f>
        <v>91</v>
      </c>
      <c r="H85" s="3">
        <f>IF(ISNUMBER(明細表[[#This Row],[年齡]]),IF(明細表[[#This Row],[年齡]]&lt;退休年齡,IF(明細表[[#This Row],[年齡]]=退休年齡-1,每年投入金額+一次領退休金,每年投入金額),0),"")</f>
        <v>0</v>
      </c>
      <c r="I85" s="3">
        <f>IF(ISNUMBER(明細表[[#This Row],[年齡]]),IF(明細表[[#This Row],[年齡]]&gt;=退休年齡-1,VLOOKUP(明細表[[#This Row],[年齡]]+1,費用需求表[],5,1),0),"")</f>
        <v>969047.78981387895</v>
      </c>
      <c r="J85" s="6">
        <f>IF(ISNUMBER(明細表[[#This Row],[年齡]]),IF(明細表[[#This Row],[年齡]]&gt;=退休年齡,退休後投資報酬率,退休前投資報酬率),"")</f>
        <v>0.05</v>
      </c>
      <c r="K85" s="3">
        <f>IF(ISNUMBER(明細表[[#This Row],[年齡]]),L84*明細表[[#This Row],[投資報酬率]],"")</f>
        <v>367226.19910704717</v>
      </c>
      <c r="L85" s="3">
        <f>IF(ISNUMBER(明細表[[#This Row],[年齡]]),L84+明細表[[#This Row],[投入金額]]+明細表[[#This Row],[收益]]-明細表[[#This Row],[支出金額]],"")</f>
        <v>6742702.3914341116</v>
      </c>
    </row>
    <row r="86" spans="1:12" x14ac:dyDescent="0.25">
      <c r="A86" s="7" t="str">
        <f t="shared" si="3"/>
        <v/>
      </c>
      <c r="B86" s="3" t="str">
        <f>IF(ISNUMBER(費用需求表[[#This Row],[年齡]]),VLOOKUP(費用需求表[[#This Row],[年齡]],階梯式費用[],2),"")</f>
        <v/>
      </c>
      <c r="C86" s="3" t="str">
        <f>IF(ISNUMBER(費用需求表[[#This Row],[年齡]]),費用需求表[[#This Row],[費用現值]]*(1+通貨膨脹率)^(費用需求表[[#This Row],[年齡]]-現在年齡),"")</f>
        <v/>
      </c>
      <c r="D86" s="3" t="str">
        <f>IF(ISNUMBER(費用需求表[[#This Row],[年齡]]),IF(MOD(費用需求表[[#This Row],[年齡]]-退休年齡,通膨調整年數)=0,D85*通膨調整比例,D85),"")</f>
        <v/>
      </c>
      <c r="E86" s="3" t="str">
        <f>IF(ISNUMBER(費用需求表[[#This Row],[年齡]]),費用需求表[[#This Row],[通膨調整金額]]-費用需求表[[#This Row],[年金]],"")</f>
        <v/>
      </c>
      <c r="F86" s="6"/>
      <c r="G86" s="7">
        <f t="shared" si="4"/>
        <v>92</v>
      </c>
      <c r="H86" s="3">
        <f>IF(ISNUMBER(明細表[[#This Row],[年齡]]),IF(明細表[[#This Row],[年齡]]&lt;退休年齡,IF(明細表[[#This Row],[年齡]]=退休年齡-1,每年投入金額+一次領退休金,每年投入金額),0),"")</f>
        <v>0</v>
      </c>
      <c r="I86" s="3">
        <f>IF(ISNUMBER(明細表[[#This Row],[年齡]]),IF(明細表[[#This Row],[年齡]]&gt;=退休年齡-1,VLOOKUP(明細表[[#This Row],[年齡]]+1,費用需求表[],5,1),0),"")</f>
        <v>968723.10233651544</v>
      </c>
      <c r="J86" s="6">
        <f>IF(ISNUMBER(明細表[[#This Row],[年齡]]),IF(明細表[[#This Row],[年齡]]&gt;=退休年齡,退休後投資報酬率,退休前投資報酬率),"")</f>
        <v>0.05</v>
      </c>
      <c r="K86" s="3">
        <f>IF(ISNUMBER(明細表[[#This Row],[年齡]]),L85*明細表[[#This Row],[投資報酬率]],"")</f>
        <v>337135.11957170558</v>
      </c>
      <c r="L86" s="3">
        <f>IF(ISNUMBER(明細表[[#This Row],[年齡]]),L85+明細表[[#This Row],[投入金額]]+明細表[[#This Row],[收益]]-明細表[[#This Row],[支出金額]],"")</f>
        <v>6111114.4086693013</v>
      </c>
    </row>
    <row r="87" spans="1:12" x14ac:dyDescent="0.25">
      <c r="A87" s="7" t="str">
        <f t="shared" si="3"/>
        <v/>
      </c>
      <c r="B87" s="3" t="str">
        <f>IF(ISNUMBER(費用需求表[[#This Row],[年齡]]),VLOOKUP(費用需求表[[#This Row],[年齡]],階梯式費用[],2),"")</f>
        <v/>
      </c>
      <c r="C87" s="3" t="str">
        <f>IF(ISNUMBER(費用需求表[[#This Row],[年齡]]),費用需求表[[#This Row],[費用現值]]*(1+通貨膨脹率)^(費用需求表[[#This Row],[年齡]]-現在年齡),"")</f>
        <v/>
      </c>
      <c r="D87" s="3" t="str">
        <f>IF(ISNUMBER(費用需求表[[#This Row],[年齡]]),IF(MOD(費用需求表[[#This Row],[年齡]]-退休年齡,通膨調整年數)=0,D86*通膨調整比例,D86),"")</f>
        <v/>
      </c>
      <c r="E87" s="3" t="str">
        <f>IF(ISNUMBER(費用需求表[[#This Row],[年齡]]),費用需求表[[#This Row],[通膨調整金額]]-費用需求表[[#This Row],[年金]],"")</f>
        <v/>
      </c>
      <c r="F87" s="6"/>
      <c r="G87" s="7">
        <f t="shared" si="4"/>
        <v>93</v>
      </c>
      <c r="H87" s="3">
        <f>IF(ISNUMBER(明細表[[#This Row],[年齡]]),IF(明細表[[#This Row],[年齡]]&lt;退休年齡,IF(明細表[[#This Row],[年齡]]=退休年齡-1,每年投入金額+一次領退休金,每年投入金額),0),"")</f>
        <v>0</v>
      </c>
      <c r="I87" s="3">
        <f>IF(ISNUMBER(明細表[[#This Row],[年齡]]),IF(明細表[[#This Row],[年齡]]&gt;=退休年齡-1,VLOOKUP(明細表[[#This Row],[年齡]]+1,費用需求表[],5,1),0),"")</f>
        <v>998246.94619606575</v>
      </c>
      <c r="J87" s="6">
        <f>IF(ISNUMBER(明細表[[#This Row],[年齡]]),IF(明細表[[#This Row],[年齡]]&gt;=退休年齡,退休後投資報酬率,退休前投資報酬率),"")</f>
        <v>0.05</v>
      </c>
      <c r="K87" s="3">
        <f>IF(ISNUMBER(明細表[[#This Row],[年齡]]),L86*明細表[[#This Row],[投資報酬率]],"")</f>
        <v>305555.72043346509</v>
      </c>
      <c r="L87" s="3">
        <f>IF(ISNUMBER(明細表[[#This Row],[年齡]]),L86+明細表[[#This Row],[投入金額]]+明細表[[#This Row],[收益]]-明細表[[#This Row],[支出金額]],"")</f>
        <v>5418423.1829067003</v>
      </c>
    </row>
    <row r="88" spans="1:12" x14ac:dyDescent="0.25">
      <c r="A88" s="7" t="str">
        <f t="shared" si="3"/>
        <v/>
      </c>
      <c r="B88" s="3" t="str">
        <f>IF(ISNUMBER(費用需求表[[#This Row],[年齡]]),VLOOKUP(費用需求表[[#This Row],[年齡]],階梯式費用[],2),"")</f>
        <v/>
      </c>
      <c r="C88" s="3" t="str">
        <f>IF(ISNUMBER(費用需求表[[#This Row],[年齡]]),費用需求表[[#This Row],[費用現值]]*(1+通貨膨脹率)^(費用需求表[[#This Row],[年齡]]-現在年齡),"")</f>
        <v/>
      </c>
      <c r="D88" s="3" t="str">
        <f>IF(ISNUMBER(費用需求表[[#This Row],[年齡]]),IF(MOD(費用需求表[[#This Row],[年齡]]-退休年齡,通膨調整年數)=0,D87*通膨調整比例,D87),"")</f>
        <v/>
      </c>
      <c r="E88" s="3" t="str">
        <f>IF(ISNUMBER(費用需求表[[#This Row],[年齡]]),費用需求表[[#This Row],[通膨調整金額]]-費用需求表[[#This Row],[年金]],"")</f>
        <v/>
      </c>
      <c r="F88" s="6"/>
      <c r="G88" s="7">
        <f t="shared" si="4"/>
        <v>94</v>
      </c>
      <c r="H88" s="3">
        <f>IF(ISNUMBER(明細表[[#This Row],[年齡]]),IF(明細表[[#This Row],[年齡]]&lt;退休年齡,IF(明細表[[#This Row],[年齡]]=退休年齡-1,每年投入金額+一次領退休金,每年投入金額),0),"")</f>
        <v>0</v>
      </c>
      <c r="I88" s="3">
        <f>IF(ISNUMBER(明細表[[#This Row],[年齡]]),IF(明細表[[#This Row],[年齡]]&gt;=退休年齡-1,VLOOKUP(明細表[[#This Row],[年齡]]+1,費用需求表[],5,1),0),"")</f>
        <v>1028361.2669328069</v>
      </c>
      <c r="J88" s="6">
        <f>IF(ISNUMBER(明細表[[#This Row],[年齡]]),IF(明細表[[#This Row],[年齡]]&gt;=退休年齡,退休後投資報酬率,退休前投資報酬率),"")</f>
        <v>0.05</v>
      </c>
      <c r="K88" s="3">
        <f>IF(ISNUMBER(明細表[[#This Row],[年齡]]),L87*明細表[[#This Row],[投資報酬率]],"")</f>
        <v>270921.15914533503</v>
      </c>
      <c r="L88" s="3">
        <f>IF(ISNUMBER(明細表[[#This Row],[年齡]]),L87+明細表[[#This Row],[投入金額]]+明細表[[#This Row],[收益]]-明細表[[#This Row],[支出金額]],"")</f>
        <v>4660983.0751192281</v>
      </c>
    </row>
    <row r="89" spans="1:12" x14ac:dyDescent="0.25">
      <c r="F89" s="6"/>
      <c r="G89" s="7">
        <f t="shared" si="4"/>
        <v>95</v>
      </c>
      <c r="H89" s="3">
        <f>IF(ISNUMBER(明細表[[#This Row],[年齡]]),IF(明細表[[#This Row],[年齡]]&lt;退休年齡,IF(明細表[[#This Row],[年齡]]=退休年齡-1,每年投入金額+一次領退休金,每年投入金額),0),"")</f>
        <v>0</v>
      </c>
      <c r="I89" s="3">
        <f>IF(ISNUMBER(明細表[[#This Row],[年齡]]),IF(明細表[[#This Row],[年齡]]&gt;=退休年齡-1,VLOOKUP(明細表[[#This Row],[年齡]]+1,費用需求表[],5,1),0),"")</f>
        <v>1028016.705984329</v>
      </c>
      <c r="J89" s="6">
        <f>IF(ISNUMBER(明細表[[#This Row],[年齡]]),IF(明細表[[#This Row],[年齡]]&gt;=退休年齡,退休後投資報酬率,退休前投資報酬率),"")</f>
        <v>0.05</v>
      </c>
      <c r="K89" s="3">
        <f>IF(ISNUMBER(明細表[[#This Row],[年齡]]),L88*明細表[[#This Row],[投資報酬率]],"")</f>
        <v>233049.15375596142</v>
      </c>
      <c r="L89" s="3">
        <f>IF(ISNUMBER(明細表[[#This Row],[年齡]]),L88+明細表[[#This Row],[投入金額]]+明細表[[#This Row],[收益]]-明細表[[#This Row],[支出金額]],"")</f>
        <v>3866015.5228908602</v>
      </c>
    </row>
    <row r="90" spans="1:12" x14ac:dyDescent="0.25">
      <c r="F90" s="6"/>
      <c r="G90" s="7">
        <f t="shared" si="4"/>
        <v>96</v>
      </c>
      <c r="H90" s="3">
        <f>IF(ISNUMBER(明細表[[#This Row],[年齡]]),IF(明細表[[#This Row],[年齡]]&lt;退休年齡,IF(明細表[[#This Row],[年齡]]=退休年齡-1,每年投入金額+一次領退休金,每年投入金額),0),"")</f>
        <v>0</v>
      </c>
      <c r="I90" s="3">
        <f>IF(ISNUMBER(明細表[[#This Row],[年齡]]),IF(明細表[[#This Row],[年齡]]&gt;=退休年齡-1,VLOOKUP(明細表[[#This Row],[年齡]]+1,費用需求表[],5,1),0),"")</f>
        <v>1059347.6452788347</v>
      </c>
      <c r="J90" s="6">
        <f>IF(ISNUMBER(明細表[[#This Row],[年齡]]),IF(明細表[[#This Row],[年齡]]&gt;=退休年齡,退休後投資報酬率,退休前投資報酬率),"")</f>
        <v>0.05</v>
      </c>
      <c r="K90" s="3">
        <f>IF(ISNUMBER(明細表[[#This Row],[年齡]]),L89*明細表[[#This Row],[投資報酬率]],"")</f>
        <v>193300.77614454302</v>
      </c>
      <c r="L90" s="3">
        <f>IF(ISNUMBER(明細表[[#This Row],[年齡]]),L89+明細表[[#This Row],[投入金額]]+明細表[[#This Row],[收益]]-明細表[[#This Row],[支出金額]],"")</f>
        <v>2999968.6537565687</v>
      </c>
    </row>
    <row r="91" spans="1:12" x14ac:dyDescent="0.25">
      <c r="F91" s="6"/>
      <c r="G91" s="7">
        <f t="shared" si="4"/>
        <v>97</v>
      </c>
      <c r="H91" s="3">
        <f>IF(ISNUMBER(明細表[[#This Row],[年齡]]),IF(明細表[[#This Row],[年齡]]&lt;退休年齡,IF(明細表[[#This Row],[年齡]]=退休年齡-1,每年投入金額+一次領退休金,每年投入金額),0),"")</f>
        <v>0</v>
      </c>
      <c r="I91" s="3">
        <f>IF(ISNUMBER(明細表[[#This Row],[年齡]]),IF(明細表[[#This Row],[年齡]]&gt;=退休年齡-1,VLOOKUP(明細表[[#This Row],[年齡]]+1,費用需求表[],5,1),0),"")</f>
        <v>1091305.20335923</v>
      </c>
      <c r="J91" s="6">
        <f>IF(ISNUMBER(明細表[[#This Row],[年齡]]),IF(明細表[[#This Row],[年齡]]&gt;=退休年齡,退休後投資報酬率,退休前投資報酬率),"")</f>
        <v>0.05</v>
      </c>
      <c r="K91" s="3">
        <f>IF(ISNUMBER(明細表[[#This Row],[年齡]]),L90*明細表[[#This Row],[投資報酬率]],"")</f>
        <v>149998.43268782843</v>
      </c>
      <c r="L91" s="3">
        <f>IF(ISNUMBER(明細表[[#This Row],[年齡]]),L90+明細表[[#This Row],[投入金額]]+明細表[[#This Row],[收益]]-明細表[[#This Row],[支出金額]],"")</f>
        <v>2058661.883085167</v>
      </c>
    </row>
    <row r="92" spans="1:12" x14ac:dyDescent="0.25">
      <c r="F92" s="6"/>
      <c r="G92" s="7">
        <f t="shared" si="4"/>
        <v>98</v>
      </c>
      <c r="H92" s="3">
        <f>IF(ISNUMBER(明細表[[#This Row],[年齡]]),IF(明細表[[#This Row],[年齡]]&lt;退休年齡,IF(明細表[[#This Row],[年齡]]=退休年齡-1,每年投入金額+一次領退休金,每年投入金額),0),"")</f>
        <v>0</v>
      </c>
      <c r="I92" s="3">
        <f>IF(ISNUMBER(明細表[[#This Row],[年齡]]),IF(明細表[[#This Row],[年齡]]&gt;=退休年齡-1,VLOOKUP(明細表[[#This Row],[年齡]]+1,費用需求表[],5,1),0),"")</f>
        <v>1090939.5525242181</v>
      </c>
      <c r="J92" s="6">
        <f>IF(ISNUMBER(明細表[[#This Row],[年齡]]),IF(明細表[[#This Row],[年齡]]&gt;=退休年齡,退休後投資報酬率,退休前投資報酬率),"")</f>
        <v>0.05</v>
      </c>
      <c r="K92" s="3">
        <f>IF(ISNUMBER(明細表[[#This Row],[年齡]]),L91*明細表[[#This Row],[投資報酬率]],"")</f>
        <v>102933.09415425836</v>
      </c>
      <c r="L92" s="3">
        <f>IF(ISNUMBER(明細表[[#This Row],[年齡]]),L91+明細表[[#This Row],[投入金額]]+明細表[[#This Row],[收益]]-明細表[[#This Row],[支出金額]],"")</f>
        <v>1070655.4247152072</v>
      </c>
    </row>
    <row r="93" spans="1:12" x14ac:dyDescent="0.25">
      <c r="F93" s="6"/>
      <c r="G93" s="7">
        <f t="shared" si="4"/>
        <v>99</v>
      </c>
      <c r="H93" s="3">
        <f>IF(ISNUMBER(明細表[[#This Row],[年齡]]),IF(明細表[[#This Row],[年齡]]&lt;退休年齡,IF(明細表[[#This Row],[年齡]]=退休年齡-1,每年投入金額+一次領退休金,每年投入金額),0),"")</f>
        <v>0</v>
      </c>
      <c r="I93" s="3">
        <f>IF(ISNUMBER(明細表[[#This Row],[年齡]]),IF(明細表[[#This Row],[年齡]]&gt;=退休年齡-1,VLOOKUP(明細表[[#This Row],[年齡]]+1,費用需求表[],5,1),0),"")</f>
        <v>1124188.1959510611</v>
      </c>
      <c r="J93" s="6">
        <f>IF(ISNUMBER(明細表[[#This Row],[年齡]]),IF(明細表[[#This Row],[年齡]]&gt;=退休年齡,退休後投資報酬率,退休前投資報酬率),"")</f>
        <v>0.05</v>
      </c>
      <c r="K93" s="3">
        <f>IF(ISNUMBER(明細表[[#This Row],[年齡]]),L92*明細表[[#This Row],[投資報酬率]],"")</f>
        <v>53532.77123576036</v>
      </c>
      <c r="L93" s="3">
        <f>IF(ISNUMBER(明細表[[#This Row],[年齡]]),L92+明細表[[#This Row],[投入金額]]+明細表[[#This Row],[收益]]-明細表[[#This Row],[支出金額]],"")</f>
        <v>-9.3597918748855591E-8</v>
      </c>
    </row>
    <row r="94" spans="1:12" x14ac:dyDescent="0.25">
      <c r="F94" s="6"/>
      <c r="G94" s="7" t="str">
        <f t="shared" si="4"/>
        <v/>
      </c>
      <c r="H94" s="3" t="str">
        <f>IF(ISNUMBER(明細表[[#This Row],[年齡]]),IF(明細表[[#This Row],[年齡]]&lt;退休年齡,IF(明細表[[#This Row],[年齡]]=退休年齡-1,每年投入金額+一次領退休金,每年投入金額),0),"")</f>
        <v/>
      </c>
      <c r="I94" s="3" t="str">
        <f>IF(ISNUMBER(明細表[[#This Row],[年齡]]),IF(明細表[[#This Row],[年齡]]&gt;=退休年齡-1,VLOOKUP(明細表[[#This Row],[年齡]]+1,費用需求表[],5,1),0),"")</f>
        <v/>
      </c>
      <c r="J94" s="6" t="str">
        <f>IF(ISNUMBER(明細表[[#This Row],[年齡]]),IF(明細表[[#This Row],[年齡]]&gt;=退休年齡,退休後投資報酬率,退休前投資報酬率),"")</f>
        <v/>
      </c>
      <c r="K94" s="3" t="str">
        <f>IF(ISNUMBER(明細表[[#This Row],[年齡]]),L93*明細表[[#This Row],[投資報酬率]],"")</f>
        <v/>
      </c>
      <c r="L94" s="3" t="str">
        <f>IF(ISNUMBER(明細表[[#This Row],[年齡]]),L93+明細表[[#This Row],[投入金額]]+明細表[[#This Row],[收益]]-明細表[[#This Row],[支出金額]],"")</f>
        <v/>
      </c>
    </row>
    <row r="95" spans="1:12" x14ac:dyDescent="0.25">
      <c r="F95" s="6"/>
      <c r="G95" s="7" t="str">
        <f t="shared" si="4"/>
        <v/>
      </c>
      <c r="H95" s="3" t="str">
        <f>IF(ISNUMBER(明細表[[#This Row],[年齡]]),IF(明細表[[#This Row],[年齡]]&lt;退休年齡,IF(明細表[[#This Row],[年齡]]=退休年齡-1,每年投入金額+一次領退休金,每年投入金額),0),"")</f>
        <v/>
      </c>
      <c r="I95" s="3" t="str">
        <f>IF(ISNUMBER(明細表[[#This Row],[年齡]]),IF(明細表[[#This Row],[年齡]]&gt;=退休年齡-1,VLOOKUP(明細表[[#This Row],[年齡]]+1,費用需求表[],5,1),0),"")</f>
        <v/>
      </c>
      <c r="J95" s="6" t="str">
        <f>IF(ISNUMBER(明細表[[#This Row],[年齡]]),IF(明細表[[#This Row],[年齡]]&gt;=退休年齡,退休後投資報酬率,退休前投資報酬率),"")</f>
        <v/>
      </c>
      <c r="K95" s="3" t="str">
        <f>IF(ISNUMBER(明細表[[#This Row],[年齡]]),L94*明細表[[#This Row],[投資報酬率]],"")</f>
        <v/>
      </c>
      <c r="L95" s="3" t="str">
        <f>IF(ISNUMBER(明細表[[#This Row],[年齡]]),L94+明細表[[#This Row],[投入金額]]+明細表[[#This Row],[收益]]-明細表[[#This Row],[支出金額]],"")</f>
        <v/>
      </c>
    </row>
    <row r="96" spans="1:12" x14ac:dyDescent="0.25">
      <c r="F96" s="6"/>
      <c r="G96" s="7" t="str">
        <f t="shared" si="4"/>
        <v/>
      </c>
      <c r="H96" s="3" t="str">
        <f>IF(ISNUMBER(明細表[[#This Row],[年齡]]),IF(明細表[[#This Row],[年齡]]&lt;退休年齡,IF(明細表[[#This Row],[年齡]]=退休年齡-1,每年投入金額+一次領退休金,每年投入金額),0),"")</f>
        <v/>
      </c>
      <c r="I96" s="3" t="str">
        <f>IF(ISNUMBER(明細表[[#This Row],[年齡]]),IF(明細表[[#This Row],[年齡]]&gt;=退休年齡-1,VLOOKUP(明細表[[#This Row],[年齡]]+1,費用需求表[],5,1),0),"")</f>
        <v/>
      </c>
      <c r="J96" s="6" t="str">
        <f>IF(ISNUMBER(明細表[[#This Row],[年齡]]),IF(明細表[[#This Row],[年齡]]&gt;=退休年齡,退休後投資報酬率,退休前投資報酬率),"")</f>
        <v/>
      </c>
      <c r="K96" s="3" t="str">
        <f>IF(ISNUMBER(明細表[[#This Row],[年齡]]),L95*明細表[[#This Row],[投資報酬率]],"")</f>
        <v/>
      </c>
      <c r="L96" s="3" t="str">
        <f>IF(ISNUMBER(明細表[[#This Row],[年齡]]),L95+明細表[[#This Row],[投入金額]]+明細表[[#This Row],[收益]]-明細表[[#This Row],[支出金額]],"")</f>
        <v/>
      </c>
    </row>
    <row r="97" spans="6:12" x14ac:dyDescent="0.25">
      <c r="F97" s="6"/>
      <c r="G97" s="7" t="str">
        <f t="shared" si="4"/>
        <v/>
      </c>
      <c r="H97" s="3" t="str">
        <f>IF(ISNUMBER(明細表[[#This Row],[年齡]]),IF(明細表[[#This Row],[年齡]]&lt;退休年齡,IF(明細表[[#This Row],[年齡]]=退休年齡-1,每年投入金額+一次領退休金,每年投入金額),0),"")</f>
        <v/>
      </c>
      <c r="I97" s="3" t="str">
        <f>IF(ISNUMBER(明細表[[#This Row],[年齡]]),IF(明細表[[#This Row],[年齡]]&gt;=退休年齡-1,VLOOKUP(明細表[[#This Row],[年齡]]+1,費用需求表[],5,1),0),"")</f>
        <v/>
      </c>
      <c r="J97" s="6" t="str">
        <f>IF(ISNUMBER(明細表[[#This Row],[年齡]]),IF(明細表[[#This Row],[年齡]]&gt;=退休年齡,退休後投資報酬率,退休前投資報酬率),"")</f>
        <v/>
      </c>
      <c r="K97" s="3" t="str">
        <f>IF(ISNUMBER(明細表[[#This Row],[年齡]]),L96*明細表[[#This Row],[投資報酬率]],"")</f>
        <v/>
      </c>
      <c r="L97" s="3" t="str">
        <f>IF(ISNUMBER(明細表[[#This Row],[年齡]]),L96+明細表[[#This Row],[投入金額]]+明細表[[#This Row],[收益]]-明細表[[#This Row],[支出金額]],"")</f>
        <v/>
      </c>
    </row>
    <row r="98" spans="6:12" x14ac:dyDescent="0.25">
      <c r="F98" s="6"/>
      <c r="G98" s="7" t="str">
        <f t="shared" si="4"/>
        <v/>
      </c>
      <c r="H98" s="3" t="str">
        <f>IF(ISNUMBER(明細表[[#This Row],[年齡]]),IF(明細表[[#This Row],[年齡]]&lt;退休年齡,IF(明細表[[#This Row],[年齡]]=退休年齡-1,每年投入金額+一次領退休金,每年投入金額),0),"")</f>
        <v/>
      </c>
      <c r="I98" s="3" t="str">
        <f>IF(ISNUMBER(明細表[[#This Row],[年齡]]),IF(明細表[[#This Row],[年齡]]&gt;=退休年齡-1,VLOOKUP(明細表[[#This Row],[年齡]]+1,費用需求表[],5,1),0),"")</f>
        <v/>
      </c>
      <c r="J98" s="6" t="str">
        <f>IF(ISNUMBER(明細表[[#This Row],[年齡]]),IF(明細表[[#This Row],[年齡]]&gt;=退休年齡,退休後投資報酬率,退休前投資報酬率),"")</f>
        <v/>
      </c>
      <c r="K98" s="3" t="str">
        <f>IF(ISNUMBER(明細表[[#This Row],[年齡]]),L97*明細表[[#This Row],[投資報酬率]],"")</f>
        <v/>
      </c>
      <c r="L98" s="3" t="str">
        <f>IF(ISNUMBER(明細表[[#This Row],[年齡]]),L97+明細表[[#This Row],[投入金額]]+明細表[[#This Row],[收益]]-明細表[[#This Row],[支出金額]],"")</f>
        <v/>
      </c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  <ignoredErrors>
    <ignoredError sqref="L18:L19 G18:G19 J19:J98 L20:L98 G20:G98 A20:A39 A40:A88 H19:H98" calculatedColumn="1"/>
  </ignoredError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12</vt:i4>
      </vt:variant>
    </vt:vector>
  </HeadingPairs>
  <TitlesOfParts>
    <vt:vector size="13" baseType="lpstr">
      <vt:lpstr>實作練習 (419頁)</vt:lpstr>
      <vt:lpstr>一次領退休金</vt:lpstr>
      <vt:lpstr>年金</vt:lpstr>
      <vt:lpstr>每年投入金額</vt:lpstr>
      <vt:lpstr>退休年齡</vt:lpstr>
      <vt:lpstr>退休前投資報酬率</vt:lpstr>
      <vt:lpstr>退休後投資報酬率</vt:lpstr>
      <vt:lpstr>退休準備金</vt:lpstr>
      <vt:lpstr>現在年齡</vt:lpstr>
      <vt:lpstr>現有退休準備金</vt:lpstr>
      <vt:lpstr>通貨膨脹率</vt:lpstr>
      <vt:lpstr>通膨調整比例</vt:lpstr>
      <vt:lpstr>通膨調整年數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2015-12-03T00:29:49Z</dcterms:created>
  <dcterms:modified xsi:type="dcterms:W3CDTF">2016-05-20T13:37:59Z</dcterms:modified>
</cp:coreProperties>
</file>