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anley\OneDrive\Smart新DVD\"/>
    </mc:Choice>
  </mc:AlternateContent>
  <bookViews>
    <workbookView xWindow="0" yWindow="0" windowWidth="19200" windowHeight="7989"/>
  </bookViews>
  <sheets>
    <sheet name="變動年金" sheetId="1" r:id="rId1"/>
    <sheet name="工作表1" sheetId="2" r:id="rId2"/>
  </sheets>
  <definedNames>
    <definedName name="solver_adj" localSheetId="0" hidden="1">變動年金!$B$10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變動年金!$B$10</definedName>
    <definedName name="solver_lhs2" localSheetId="0" hidden="1">變動年金!$B$10</definedName>
    <definedName name="solver_lhs3" localSheetId="0" hidden="1">變動年金!$B$11</definedName>
    <definedName name="solver_lhs4" localSheetId="0" hidden="1">變動年金!$B$11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2</definedName>
    <definedName name="solver_nwt" localSheetId="0" hidden="1">1</definedName>
    <definedName name="solver_opt" localSheetId="0" hidden="1">變動年金!$B$13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el2" localSheetId="0" hidden="1">3</definedName>
    <definedName name="solver_rel3" localSheetId="0" hidden="1">3</definedName>
    <definedName name="solver_rel4" localSheetId="0" hidden="1">3</definedName>
    <definedName name="solver_rhs1" localSheetId="0" hidden="1">20%</definedName>
    <definedName name="solver_rhs2" localSheetId="0" hidden="1">0</definedName>
    <definedName name="solver_rhs3" localSheetId="0" hidden="1">0</definedName>
    <definedName name="solver_rhs4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  <definedName name="目前年齡">變動年金!$B$2</definedName>
    <definedName name="每月投入金額">變動年金!$B$20</definedName>
    <definedName name="保證年金現值">變動年金!$B$4</definedName>
    <definedName name="保證退休準備金">變動年金!$B$13</definedName>
    <definedName name="保證部位報酬率">變動年金!$B$9</definedName>
    <definedName name="退休年齡">變動年金!$B$3</definedName>
    <definedName name="退休前報酬率">變動年金!$B$19</definedName>
    <definedName name="退休時保證年金">變動年金!$B$5</definedName>
    <definedName name="退休時變動年金">變動年金!$B$7</definedName>
    <definedName name="退休準備合計">變動年金!$B$15</definedName>
    <definedName name="現有退休準備金">變動年金!$B$18</definedName>
    <definedName name="通貨膨脹率">變動年金!$B$8</definedName>
    <definedName name="試算模式">變動年金!$B$12</definedName>
    <definedName name="變動年金現值">變動年金!$B$6</definedName>
    <definedName name="變動退休準備金">變動年金!$B$14</definedName>
    <definedName name="變動部位報酬率">變動年金!$B$10</definedName>
    <definedName name="變動部位標準差">變動年金!$B$11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C28" i="1"/>
  <c r="C29" i="1"/>
  <c r="C30" i="1"/>
  <c r="C31" i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26" i="1"/>
  <c r="C25" i="1"/>
  <c r="B5" i="1" l="1"/>
  <c r="I66" i="1" l="1"/>
  <c r="I67" i="1"/>
  <c r="I68" i="1"/>
  <c r="I69" i="1"/>
  <c r="I70" i="1"/>
  <c r="I71" i="1"/>
  <c r="I72" i="1"/>
  <c r="I73" i="1"/>
  <c r="I74" i="1"/>
  <c r="I75" i="1"/>
  <c r="I65" i="1"/>
  <c r="A25" i="1"/>
  <c r="B7" i="1"/>
  <c r="G25" i="1" s="1"/>
  <c r="B13" i="1"/>
  <c r="B14" i="1" l="1"/>
  <c r="K25" i="1" s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B25" i="1"/>
  <c r="F25" i="1" s="1"/>
  <c r="A26" i="1"/>
  <c r="B26" i="1" s="1"/>
  <c r="F26" i="1" l="1"/>
  <c r="B15" i="1"/>
  <c r="B20" i="1" s="1"/>
  <c r="G26" i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J26" i="1"/>
  <c r="A27" i="1"/>
  <c r="E25" i="1"/>
  <c r="J2" i="1" l="1"/>
  <c r="A6" i="2"/>
  <c r="K26" i="1"/>
  <c r="A28" i="1"/>
  <c r="B27" i="1"/>
  <c r="D26" i="1"/>
  <c r="E26" i="1" s="1"/>
  <c r="D27" i="1" s="1"/>
  <c r="L25" i="1"/>
  <c r="F27" i="1" l="1"/>
  <c r="J27" i="1"/>
  <c r="K27" i="1" s="1"/>
  <c r="A29" i="1"/>
  <c r="B28" i="1"/>
  <c r="L26" i="1"/>
  <c r="F28" i="1" l="1"/>
  <c r="J28" i="1"/>
  <c r="K28" i="1" s="1"/>
  <c r="A30" i="1"/>
  <c r="B29" i="1"/>
  <c r="E27" i="1"/>
  <c r="D28" i="1" s="1"/>
  <c r="F29" i="1" l="1"/>
  <c r="J29" i="1"/>
  <c r="K29" i="1" s="1"/>
  <c r="A31" i="1"/>
  <c r="B30" i="1"/>
  <c r="L27" i="1"/>
  <c r="F30" i="1" l="1"/>
  <c r="J30" i="1"/>
  <c r="K30" i="1" s="1"/>
  <c r="B31" i="1"/>
  <c r="A32" i="1"/>
  <c r="E28" i="1"/>
  <c r="D29" i="1" s="1"/>
  <c r="F31" i="1" l="1"/>
  <c r="J31" i="1"/>
  <c r="K31" i="1" s="1"/>
  <c r="A33" i="1"/>
  <c r="B32" i="1"/>
  <c r="L28" i="1"/>
  <c r="F32" i="1" l="1"/>
  <c r="J32" i="1"/>
  <c r="K32" i="1" s="1"/>
  <c r="B33" i="1"/>
  <c r="A34" i="1"/>
  <c r="E29" i="1"/>
  <c r="D30" i="1" s="1"/>
  <c r="F33" i="1" l="1"/>
  <c r="J33" i="1"/>
  <c r="K33" i="1" s="1"/>
  <c r="B34" i="1"/>
  <c r="A35" i="1"/>
  <c r="L29" i="1"/>
  <c r="F34" i="1" l="1"/>
  <c r="J34" i="1"/>
  <c r="K34" i="1" s="1"/>
  <c r="B35" i="1"/>
  <c r="A36" i="1"/>
  <c r="E30" i="1"/>
  <c r="D31" i="1" s="1"/>
  <c r="F35" i="1" l="1"/>
  <c r="J35" i="1"/>
  <c r="K35" i="1" s="1"/>
  <c r="B36" i="1"/>
  <c r="A37" i="1"/>
  <c r="L30" i="1"/>
  <c r="F36" i="1" l="1"/>
  <c r="J36" i="1"/>
  <c r="K36" i="1" s="1"/>
  <c r="B37" i="1"/>
  <c r="A38" i="1"/>
  <c r="E31" i="1"/>
  <c r="D32" i="1" s="1"/>
  <c r="F37" i="1" l="1"/>
  <c r="J37" i="1"/>
  <c r="K37" i="1" s="1"/>
  <c r="B38" i="1"/>
  <c r="A39" i="1"/>
  <c r="L31" i="1"/>
  <c r="F38" i="1" l="1"/>
  <c r="J38" i="1"/>
  <c r="K38" i="1" s="1"/>
  <c r="B39" i="1"/>
  <c r="A40" i="1"/>
  <c r="E32" i="1"/>
  <c r="D33" i="1" s="1"/>
  <c r="F39" i="1" l="1"/>
  <c r="J39" i="1"/>
  <c r="K39" i="1" s="1"/>
  <c r="B40" i="1"/>
  <c r="A41" i="1"/>
  <c r="L32" i="1"/>
  <c r="F40" i="1" l="1"/>
  <c r="J40" i="1"/>
  <c r="K40" i="1" s="1"/>
  <c r="B41" i="1"/>
  <c r="A42" i="1"/>
  <c r="E33" i="1"/>
  <c r="D34" i="1" s="1"/>
  <c r="F41" i="1" l="1"/>
  <c r="J41" i="1"/>
  <c r="K41" i="1" s="1"/>
  <c r="B42" i="1"/>
  <c r="A43" i="1"/>
  <c r="L33" i="1"/>
  <c r="F42" i="1" l="1"/>
  <c r="J42" i="1"/>
  <c r="K42" i="1" s="1"/>
  <c r="B43" i="1"/>
  <c r="A44" i="1"/>
  <c r="E34" i="1"/>
  <c r="D35" i="1" s="1"/>
  <c r="F43" i="1" l="1"/>
  <c r="J43" i="1"/>
  <c r="K43" i="1" s="1"/>
  <c r="B44" i="1"/>
  <c r="A45" i="1"/>
  <c r="L34" i="1"/>
  <c r="F44" i="1" l="1"/>
  <c r="J44" i="1"/>
  <c r="K44" i="1" s="1"/>
  <c r="B45" i="1"/>
  <c r="A46" i="1"/>
  <c r="E35" i="1"/>
  <c r="D36" i="1" s="1"/>
  <c r="F45" i="1" l="1"/>
  <c r="J45" i="1"/>
  <c r="K45" i="1" s="1"/>
  <c r="A47" i="1"/>
  <c r="B46" i="1"/>
  <c r="L35" i="1"/>
  <c r="F46" i="1" l="1"/>
  <c r="J46" i="1"/>
  <c r="K46" i="1" s="1"/>
  <c r="B47" i="1"/>
  <c r="A48" i="1"/>
  <c r="E36" i="1"/>
  <c r="D37" i="1" s="1"/>
  <c r="F47" i="1" l="1"/>
  <c r="J47" i="1"/>
  <c r="K47" i="1" s="1"/>
  <c r="B48" i="1"/>
  <c r="A49" i="1"/>
  <c r="L36" i="1"/>
  <c r="F48" i="1" l="1"/>
  <c r="J48" i="1"/>
  <c r="K48" i="1" s="1"/>
  <c r="B49" i="1"/>
  <c r="A50" i="1"/>
  <c r="E37" i="1"/>
  <c r="D38" i="1" s="1"/>
  <c r="F49" i="1" l="1"/>
  <c r="J49" i="1"/>
  <c r="K49" i="1" s="1"/>
  <c r="A51" i="1"/>
  <c r="B50" i="1"/>
  <c r="L37" i="1"/>
  <c r="F50" i="1" l="1"/>
  <c r="J50" i="1"/>
  <c r="K50" i="1" s="1"/>
  <c r="B51" i="1"/>
  <c r="A52" i="1"/>
  <c r="E38" i="1"/>
  <c r="D39" i="1" s="1"/>
  <c r="F51" i="1" l="1"/>
  <c r="J51" i="1"/>
  <c r="K51" i="1" s="1"/>
  <c r="B52" i="1"/>
  <c r="A53" i="1"/>
  <c r="L38" i="1"/>
  <c r="F52" i="1" l="1"/>
  <c r="J52" i="1"/>
  <c r="K52" i="1" s="1"/>
  <c r="B53" i="1"/>
  <c r="A54" i="1"/>
  <c r="E39" i="1"/>
  <c r="D40" i="1" s="1"/>
  <c r="F53" i="1" l="1"/>
  <c r="J53" i="1"/>
  <c r="K53" i="1" s="1"/>
  <c r="B54" i="1"/>
  <c r="A55" i="1"/>
  <c r="L39" i="1"/>
  <c r="F54" i="1" l="1"/>
  <c r="J54" i="1"/>
  <c r="K54" i="1" s="1"/>
  <c r="A56" i="1"/>
  <c r="B55" i="1"/>
  <c r="E40" i="1"/>
  <c r="D41" i="1" s="1"/>
  <c r="F55" i="1" l="1"/>
  <c r="J55" i="1"/>
  <c r="K55" i="1" s="1"/>
  <c r="B56" i="1"/>
  <c r="A57" i="1"/>
  <c r="L40" i="1"/>
  <c r="F56" i="1" l="1"/>
  <c r="J56" i="1"/>
  <c r="K56" i="1" s="1"/>
  <c r="B57" i="1"/>
  <c r="A58" i="1"/>
  <c r="E41" i="1"/>
  <c r="D42" i="1" s="1"/>
  <c r="F57" i="1" l="1"/>
  <c r="J57" i="1"/>
  <c r="K57" i="1" s="1"/>
  <c r="A59" i="1"/>
  <c r="B58" i="1"/>
  <c r="L41" i="1"/>
  <c r="F58" i="1" l="1"/>
  <c r="J58" i="1"/>
  <c r="K58" i="1" s="1"/>
  <c r="B59" i="1"/>
  <c r="A60" i="1"/>
  <c r="E42" i="1"/>
  <c r="D43" i="1" s="1"/>
  <c r="F59" i="1" l="1"/>
  <c r="J59" i="1"/>
  <c r="K59" i="1" s="1"/>
  <c r="B60" i="1"/>
  <c r="A61" i="1"/>
  <c r="L42" i="1"/>
  <c r="F60" i="1" l="1"/>
  <c r="J60" i="1"/>
  <c r="K60" i="1" s="1"/>
  <c r="A62" i="1"/>
  <c r="B61" i="1"/>
  <c r="E43" i="1"/>
  <c r="D44" i="1" s="1"/>
  <c r="F61" i="1" l="1"/>
  <c r="J61" i="1"/>
  <c r="K61" i="1" s="1"/>
  <c r="A63" i="1"/>
  <c r="B62" i="1"/>
  <c r="L43" i="1"/>
  <c r="F62" i="1" l="1"/>
  <c r="J62" i="1"/>
  <c r="K62" i="1" s="1"/>
  <c r="A64" i="1"/>
  <c r="A65" i="1" s="1"/>
  <c r="B63" i="1"/>
  <c r="E44" i="1"/>
  <c r="D45" i="1" s="1"/>
  <c r="A66" i="1" l="1"/>
  <c r="B65" i="1"/>
  <c r="F63" i="1"/>
  <c r="J63" i="1"/>
  <c r="K63" i="1" s="1"/>
  <c r="B64" i="1"/>
  <c r="L44" i="1"/>
  <c r="F65" i="1" l="1"/>
  <c r="B66" i="1"/>
  <c r="A67" i="1"/>
  <c r="F64" i="1"/>
  <c r="J64" i="1"/>
  <c r="K64" i="1" s="1"/>
  <c r="E45" i="1"/>
  <c r="D46" i="1" s="1"/>
  <c r="B67" i="1" l="1"/>
  <c r="A68" i="1"/>
  <c r="F66" i="1"/>
  <c r="J65" i="1"/>
  <c r="K65" i="1" s="1"/>
  <c r="L45" i="1"/>
  <c r="B68" i="1" l="1"/>
  <c r="A69" i="1"/>
  <c r="F67" i="1"/>
  <c r="J66" i="1"/>
  <c r="K66" i="1" s="1"/>
  <c r="E46" i="1"/>
  <c r="D47" i="1" s="1"/>
  <c r="B69" i="1" l="1"/>
  <c r="A70" i="1"/>
  <c r="F68" i="1"/>
  <c r="J67" i="1"/>
  <c r="K67" i="1" s="1"/>
  <c r="L46" i="1"/>
  <c r="B70" i="1" l="1"/>
  <c r="A71" i="1"/>
  <c r="F69" i="1"/>
  <c r="J68" i="1"/>
  <c r="K68" i="1" s="1"/>
  <c r="E47" i="1"/>
  <c r="D48" i="1" s="1"/>
  <c r="B71" i="1" l="1"/>
  <c r="A72" i="1"/>
  <c r="F70" i="1"/>
  <c r="J69" i="1"/>
  <c r="K69" i="1" s="1"/>
  <c r="L47" i="1"/>
  <c r="A73" i="1" l="1"/>
  <c r="B72" i="1"/>
  <c r="F71" i="1"/>
  <c r="J70" i="1"/>
  <c r="K70" i="1" s="1"/>
  <c r="E48" i="1"/>
  <c r="D49" i="1" s="1"/>
  <c r="F72" i="1" l="1"/>
  <c r="B73" i="1"/>
  <c r="A74" i="1"/>
  <c r="J71" i="1"/>
  <c r="K71" i="1" s="1"/>
  <c r="L48" i="1"/>
  <c r="B74" i="1" l="1"/>
  <c r="A75" i="1"/>
  <c r="F73" i="1"/>
  <c r="J72" i="1"/>
  <c r="K72" i="1" s="1"/>
  <c r="E49" i="1"/>
  <c r="D50" i="1" s="1"/>
  <c r="B75" i="1" l="1"/>
  <c r="F74" i="1"/>
  <c r="J73" i="1"/>
  <c r="K73" i="1" s="1"/>
  <c r="L49" i="1"/>
  <c r="F75" i="1" l="1"/>
  <c r="J74" i="1"/>
  <c r="K74" i="1" s="1"/>
  <c r="E50" i="1"/>
  <c r="D51" i="1" s="1"/>
  <c r="J75" i="1" l="1"/>
  <c r="K75" i="1" s="1"/>
  <c r="L50" i="1"/>
  <c r="E51" i="1" l="1"/>
  <c r="D52" i="1" s="1"/>
  <c r="L51" i="1" l="1"/>
  <c r="E52" i="1" l="1"/>
  <c r="D53" i="1" s="1"/>
  <c r="L52" i="1" l="1"/>
  <c r="E53" i="1" l="1"/>
  <c r="D54" i="1" s="1"/>
  <c r="L53" i="1" l="1"/>
  <c r="E54" i="1" l="1"/>
  <c r="D55" i="1" s="1"/>
  <c r="L54" i="1" l="1"/>
  <c r="E55" i="1" l="1"/>
  <c r="D56" i="1" s="1"/>
  <c r="L55" i="1" l="1"/>
  <c r="E56" i="1" l="1"/>
  <c r="D57" i="1" s="1"/>
  <c r="L56" i="1" l="1"/>
  <c r="E57" i="1" l="1"/>
  <c r="D58" i="1" s="1"/>
  <c r="L57" i="1" l="1"/>
  <c r="E58" i="1" l="1"/>
  <c r="D59" i="1" s="1"/>
  <c r="L58" i="1" l="1"/>
  <c r="E59" i="1" l="1"/>
  <c r="D60" i="1" s="1"/>
  <c r="L59" i="1" l="1"/>
  <c r="E60" i="1" l="1"/>
  <c r="D61" i="1" s="1"/>
  <c r="L60" i="1" l="1"/>
  <c r="E61" i="1" l="1"/>
  <c r="D62" i="1" s="1"/>
  <c r="L61" i="1" l="1"/>
  <c r="E62" i="1" l="1"/>
  <c r="D63" i="1" s="1"/>
  <c r="L62" i="1" l="1"/>
  <c r="E63" i="1" l="1"/>
  <c r="D64" i="1" s="1"/>
  <c r="L63" i="1" l="1"/>
  <c r="E64" i="1" l="1"/>
  <c r="D65" i="1" s="1"/>
  <c r="E65" i="1" l="1"/>
  <c r="D66" i="1" s="1"/>
  <c r="L64" i="1"/>
  <c r="L65" i="1" l="1"/>
  <c r="E66" i="1"/>
  <c r="D67" i="1" s="1"/>
  <c r="E67" i="1" l="1"/>
  <c r="D68" i="1" s="1"/>
  <c r="L66" i="1"/>
  <c r="L67" i="1" l="1"/>
  <c r="E68" i="1"/>
  <c r="D69" i="1" s="1"/>
  <c r="L68" i="1" l="1"/>
  <c r="E69" i="1"/>
  <c r="D70" i="1" s="1"/>
  <c r="L69" i="1" l="1"/>
  <c r="E70" i="1"/>
  <c r="D71" i="1" s="1"/>
  <c r="L70" i="1" l="1"/>
  <c r="E71" i="1"/>
  <c r="D72" i="1" s="1"/>
  <c r="E72" i="1" l="1"/>
  <c r="D73" i="1" s="1"/>
  <c r="L71" i="1"/>
  <c r="L72" i="1" l="1"/>
  <c r="E73" i="1"/>
  <c r="D74" i="1" s="1"/>
  <c r="E74" i="1" l="1"/>
  <c r="D75" i="1" s="1"/>
  <c r="L73" i="1"/>
  <c r="L74" i="1" l="1"/>
  <c r="E75" i="1"/>
  <c r="L75" i="1" s="1"/>
</calcChain>
</file>

<file path=xl/sharedStrings.xml><?xml version="1.0" encoding="utf-8"?>
<sst xmlns="http://schemas.openxmlformats.org/spreadsheetml/2006/main" count="33" uniqueCount="33">
  <si>
    <t>總結餘</t>
    <phoneticPr fontId="2" type="noConversion"/>
  </si>
  <si>
    <t>年數</t>
    <phoneticPr fontId="2" type="noConversion"/>
  </si>
  <si>
    <t>年齡</t>
    <phoneticPr fontId="2" type="noConversion"/>
  </si>
  <si>
    <t>試算模式</t>
    <phoneticPr fontId="2" type="noConversion"/>
  </si>
  <si>
    <t>通貨膨脹率</t>
    <phoneticPr fontId="2" type="noConversion"/>
  </si>
  <si>
    <t>保證年金</t>
    <phoneticPr fontId="2" type="noConversion"/>
  </si>
  <si>
    <t>變動部位標準差</t>
    <phoneticPr fontId="2" type="noConversion"/>
  </si>
  <si>
    <t>保證準備金結餘</t>
    <phoneticPr fontId="2" type="noConversion"/>
  </si>
  <si>
    <t>變動部位獲利</t>
    <phoneticPr fontId="2" type="noConversion"/>
  </si>
  <si>
    <t>變動準備金節餘</t>
    <phoneticPr fontId="2" type="noConversion"/>
  </si>
  <si>
    <t>保證部位利息</t>
    <phoneticPr fontId="2" type="noConversion"/>
  </si>
  <si>
    <t>變動退休準備金</t>
    <phoneticPr fontId="2" type="noConversion"/>
  </si>
  <si>
    <t>變動年金規劃</t>
    <phoneticPr fontId="2" type="noConversion"/>
  </si>
  <si>
    <t>報酬率</t>
    <phoneticPr fontId="2" type="noConversion"/>
  </si>
  <si>
    <t>實際報酬率</t>
    <phoneticPr fontId="2" type="noConversion"/>
  </si>
  <si>
    <t>變動部位報酬率</t>
    <phoneticPr fontId="2" type="noConversion"/>
  </si>
  <si>
    <t>保證部位報酬率</t>
    <phoneticPr fontId="2" type="noConversion"/>
  </si>
  <si>
    <t>保證退休準備金</t>
    <phoneticPr fontId="2" type="noConversion"/>
  </si>
  <si>
    <t>退休準備金合計</t>
    <phoneticPr fontId="2" type="noConversion"/>
  </si>
  <si>
    <t>變動年金</t>
    <phoneticPr fontId="2" type="noConversion"/>
  </si>
  <si>
    <t>退休後參數</t>
    <phoneticPr fontId="2" type="noConversion"/>
  </si>
  <si>
    <t>退休年齡</t>
    <phoneticPr fontId="2" type="noConversion"/>
  </si>
  <si>
    <t>退休前參數</t>
    <phoneticPr fontId="2" type="noConversion"/>
  </si>
  <si>
    <t>目前年齡</t>
    <phoneticPr fontId="2" type="noConversion"/>
  </si>
  <si>
    <t>現有退休準備金</t>
    <phoneticPr fontId="2" type="noConversion"/>
  </si>
  <si>
    <t>每月投入金額</t>
    <phoneticPr fontId="2" type="noConversion"/>
  </si>
  <si>
    <t>退休前報酬率</t>
    <phoneticPr fontId="2" type="noConversion"/>
  </si>
  <si>
    <t>變動年金現值</t>
    <phoneticPr fontId="2" type="noConversion"/>
  </si>
  <si>
    <t>保證年金現值</t>
    <phoneticPr fontId="2" type="noConversion"/>
  </si>
  <si>
    <t>退休時保證年金</t>
    <phoneticPr fontId="2" type="noConversion"/>
  </si>
  <si>
    <t>退休時變動年金</t>
    <phoneticPr fontId="2" type="noConversion"/>
  </si>
  <si>
    <t>明細表</t>
    <phoneticPr fontId="2" type="noConversion"/>
  </si>
  <si>
    <t>規劃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</si>
</sst>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;[Red]\-#,##0\ "/>
    <numFmt numFmtId="177" formatCode="0.0%"/>
  </numFmts>
  <fonts count="12" x14ac:knownFonts="1">
    <font>
      <sz val="12"/>
      <color theme="1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2"/>
      <color theme="0"/>
      <name val="微軟正黑體"/>
      <family val="2"/>
      <charset val="136"/>
    </font>
    <font>
      <b/>
      <sz val="12"/>
      <color theme="0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2"/>
      <color theme="1"/>
      <name val="新細明體"/>
      <family val="2"/>
      <charset val="136"/>
      <scheme val="minor"/>
    </font>
    <font>
      <b/>
      <sz val="14"/>
      <color theme="0"/>
      <name val="微軟正黑體"/>
      <family val="2"/>
      <charset val="136"/>
    </font>
    <font>
      <sz val="12"/>
      <color rgb="FF0070C0"/>
      <name val="微軟正黑體"/>
      <family val="2"/>
      <charset val="136"/>
    </font>
    <font>
      <sz val="14"/>
      <color rgb="FF002060"/>
      <name val="微軟正黑體"/>
      <family val="2"/>
      <charset val="136"/>
    </font>
    <font>
      <b/>
      <sz val="14"/>
      <color rgb="FF002060"/>
      <name val="微軟正黑體"/>
      <family val="2"/>
      <charset val="136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0" fontId="1" fillId="0" borderId="0" xfId="0" applyNumberFormat="1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>
      <alignment vertical="center"/>
    </xf>
    <xf numFmtId="10" fontId="1" fillId="2" borderId="1" xfId="0" applyNumberFormat="1" applyFont="1" applyFill="1" applyBorder="1">
      <alignment vertical="center"/>
    </xf>
    <xf numFmtId="176" fontId="1" fillId="2" borderId="1" xfId="0" applyNumberFormat="1" applyFont="1" applyFill="1" applyBorder="1">
      <alignment vertical="center"/>
    </xf>
    <xf numFmtId="0" fontId="3" fillId="4" borderId="1" xfId="0" applyFont="1" applyFill="1" applyBorder="1">
      <alignment vertical="center"/>
    </xf>
    <xf numFmtId="176" fontId="3" fillId="4" borderId="1" xfId="0" applyNumberFormat="1" applyFont="1" applyFill="1" applyBorder="1">
      <alignment vertical="center"/>
    </xf>
    <xf numFmtId="0" fontId="3" fillId="5" borderId="1" xfId="0" applyFont="1" applyFill="1" applyBorder="1">
      <alignment vertical="center"/>
    </xf>
    <xf numFmtId="176" fontId="3" fillId="5" borderId="1" xfId="0" applyNumberFormat="1" applyFont="1" applyFill="1" applyBorder="1">
      <alignment vertical="center"/>
    </xf>
    <xf numFmtId="0" fontId="5" fillId="0" borderId="0" xfId="0" applyFont="1">
      <alignment vertical="center"/>
    </xf>
    <xf numFmtId="177" fontId="1" fillId="2" borderId="1" xfId="0" applyNumberFormat="1" applyFont="1" applyFill="1" applyBorder="1">
      <alignment vertical="center"/>
    </xf>
    <xf numFmtId="0" fontId="4" fillId="6" borderId="1" xfId="0" applyFont="1" applyFill="1" applyBorder="1">
      <alignment vertical="center"/>
    </xf>
    <xf numFmtId="176" fontId="4" fillId="6" borderId="1" xfId="0" applyNumberFormat="1" applyFont="1" applyFill="1" applyBorder="1" applyAlignment="1">
      <alignment horizontal="right" vertical="center"/>
    </xf>
    <xf numFmtId="176" fontId="1" fillId="7" borderId="1" xfId="0" applyNumberFormat="1" applyFont="1" applyFill="1" applyBorder="1">
      <alignment vertical="center"/>
    </xf>
    <xf numFmtId="0" fontId="6" fillId="0" borderId="0" xfId="0" applyFont="1">
      <alignment vertical="center"/>
    </xf>
    <xf numFmtId="177" fontId="1" fillId="0" borderId="0" xfId="1" applyNumberFormat="1" applyFont="1">
      <alignment vertical="center"/>
    </xf>
    <xf numFmtId="177" fontId="1" fillId="0" borderId="0" xfId="0" applyNumberFormat="1" applyFont="1">
      <alignment vertical="center"/>
    </xf>
    <xf numFmtId="177" fontId="8" fillId="8" borderId="0" xfId="1" applyNumberFormat="1" applyFont="1" applyFill="1" applyAlignment="1">
      <alignment horizontal="center" vertical="center"/>
    </xf>
    <xf numFmtId="177" fontId="8" fillId="8" borderId="0" xfId="0" applyNumberFormat="1" applyFont="1" applyFill="1" applyAlignment="1">
      <alignment horizontal="center" vertical="center"/>
    </xf>
    <xf numFmtId="176" fontId="9" fillId="8" borderId="0" xfId="0" applyNumberFormat="1" applyFont="1" applyFill="1">
      <alignment vertical="center"/>
    </xf>
    <xf numFmtId="176" fontId="10" fillId="0" borderId="0" xfId="0" applyNumberFormat="1" applyFont="1">
      <alignment vertical="center"/>
    </xf>
    <xf numFmtId="176" fontId="10" fillId="9" borderId="0" xfId="0" applyNumberFormat="1" applyFont="1" applyFill="1">
      <alignment vertical="center"/>
    </xf>
    <xf numFmtId="0" fontId="11" fillId="0" borderId="0" xfId="0" applyFont="1" applyAlignment="1">
      <alignment horizontal="center" vertical="center"/>
    </xf>
    <xf numFmtId="0" fontId="11" fillId="9" borderId="0" xfId="0" applyFont="1" applyFill="1" applyAlignment="1">
      <alignment horizontal="center" vertical="center"/>
    </xf>
  </cellXfs>
  <cellStyles count="2">
    <cellStyle name="一般" xfId="0" builtinId="0"/>
    <cellStyle name="百分比" xfId="1" builtinId="5"/>
  </cellStyles>
  <dxfs count="18">
    <dxf>
      <font>
        <color theme="0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7" formatCode="0.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7" formatCode="0.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000000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color rgb="FFFF0000"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7"/>
      <tableStyleElement type="headerRow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>
                <a:solidFill>
                  <a:schemeClr val="tx1">
                    <a:lumMod val="85000"/>
                    <a:lumOff val="1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</a:rPr>
              <a:t>退休準備金年度結餘</a:t>
            </a:r>
          </a:p>
        </c:rich>
      </c:tx>
      <c:layout>
        <c:manualLayout>
          <c:xMode val="edge"/>
          <c:yMode val="edge"/>
          <c:x val="0.36914957095361128"/>
          <c:y val="4.1516857654707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3034492761530223"/>
          <c:y val="0.11459119496855344"/>
          <c:w val="0.84701224272340647"/>
          <c:h val="0.692821774869413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變動年金!$E$24</c:f>
              <c:strCache>
                <c:ptCount val="1"/>
                <c:pt idx="0">
                  <c:v>保證準備金結餘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變動年金!$A$25:$A$65</c:f>
              <c:numCache>
                <c:formatCode>General</c:formatCode>
                <c:ptCount val="41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64</c:v>
                </c:pt>
                <c:pt idx="5">
                  <c:v>65</c:v>
                </c:pt>
                <c:pt idx="6">
                  <c:v>66</c:v>
                </c:pt>
                <c:pt idx="7">
                  <c:v>67</c:v>
                </c:pt>
                <c:pt idx="8">
                  <c:v>68</c:v>
                </c:pt>
                <c:pt idx="9">
                  <c:v>69</c:v>
                </c:pt>
                <c:pt idx="10">
                  <c:v>70</c:v>
                </c:pt>
                <c:pt idx="11">
                  <c:v>71</c:v>
                </c:pt>
                <c:pt idx="12">
                  <c:v>72</c:v>
                </c:pt>
                <c:pt idx="13">
                  <c:v>73</c:v>
                </c:pt>
                <c:pt idx="14">
                  <c:v>74</c:v>
                </c:pt>
                <c:pt idx="15">
                  <c:v>75</c:v>
                </c:pt>
                <c:pt idx="16">
                  <c:v>76</c:v>
                </c:pt>
                <c:pt idx="17">
                  <c:v>77</c:v>
                </c:pt>
                <c:pt idx="18">
                  <c:v>78</c:v>
                </c:pt>
                <c:pt idx="19">
                  <c:v>79</c:v>
                </c:pt>
                <c:pt idx="20">
                  <c:v>80</c:v>
                </c:pt>
                <c:pt idx="21">
                  <c:v>81</c:v>
                </c:pt>
                <c:pt idx="22">
                  <c:v>82</c:v>
                </c:pt>
                <c:pt idx="23">
                  <c:v>83</c:v>
                </c:pt>
                <c:pt idx="24">
                  <c:v>84</c:v>
                </c:pt>
                <c:pt idx="25">
                  <c:v>85</c:v>
                </c:pt>
                <c:pt idx="26">
                  <c:v>86</c:v>
                </c:pt>
                <c:pt idx="27">
                  <c:v>87</c:v>
                </c:pt>
                <c:pt idx="28">
                  <c:v>88</c:v>
                </c:pt>
                <c:pt idx="29">
                  <c:v>89</c:v>
                </c:pt>
                <c:pt idx="30">
                  <c:v>90</c:v>
                </c:pt>
                <c:pt idx="31">
                  <c:v>91</c:v>
                </c:pt>
                <c:pt idx="32">
                  <c:v>92</c:v>
                </c:pt>
                <c:pt idx="33">
                  <c:v>93</c:v>
                </c:pt>
                <c:pt idx="34">
                  <c:v>94</c:v>
                </c:pt>
                <c:pt idx="35">
                  <c:v>95</c:v>
                </c:pt>
                <c:pt idx="36">
                  <c:v>96</c:v>
                </c:pt>
                <c:pt idx="37">
                  <c:v>97</c:v>
                </c:pt>
                <c:pt idx="38">
                  <c:v>98</c:v>
                </c:pt>
                <c:pt idx="39">
                  <c:v>99</c:v>
                </c:pt>
                <c:pt idx="40">
                  <c:v>100</c:v>
                </c:pt>
              </c:numCache>
            </c:numRef>
          </c:cat>
          <c:val>
            <c:numRef>
              <c:f>變動年金!$E$25:$E$65</c:f>
              <c:numCache>
                <c:formatCode>#,##0_ ;[Red]\-#,##0\ </c:formatCode>
                <c:ptCount val="41"/>
                <c:pt idx="0">
                  <c:v>5599637.8604777697</c:v>
                </c:pt>
                <c:pt idx="1">
                  <c:v>5527432.2113918364</c:v>
                </c:pt>
                <c:pt idx="2">
                  <c:v>5452581.4753996832</c:v>
                </c:pt>
                <c:pt idx="3">
                  <c:v>5375030.3561760187</c:v>
                </c:pt>
                <c:pt idx="4">
                  <c:v>5294722.5717504518</c:v>
                </c:pt>
                <c:pt idx="5">
                  <c:v>5211600.8381608194</c:v>
                </c:pt>
                <c:pt idx="6">
                  <c:v>5125606.8528456837</c:v>
                </c:pt>
                <c:pt idx="7">
                  <c:v>5036681.277771946</c:v>
                </c:pt>
                <c:pt idx="8">
                  <c:v>4944763.7222934375</c:v>
                </c:pt>
                <c:pt idx="9">
                  <c:v>4849792.7257363005</c:v>
                </c:pt>
                <c:pt idx="10">
                  <c:v>4751705.7397068907</c:v>
                </c:pt>
                <c:pt idx="11">
                  <c:v>4650439.1101178853</c:v>
                </c:pt>
                <c:pt idx="12">
                  <c:v>4545928.0589281991</c:v>
                </c:pt>
                <c:pt idx="13">
                  <c:v>4438106.6655922532</c:v>
                </c:pt>
                <c:pt idx="14">
                  <c:v>4326907.8482140694</c:v>
                </c:pt>
                <c:pt idx="15">
                  <c:v>4212263.3444015924</c:v>
                </c:pt>
                <c:pt idx="16">
                  <c:v>4094103.6918165712</c:v>
                </c:pt>
                <c:pt idx="17">
                  <c:v>3972358.2084152638</c:v>
                </c:pt>
                <c:pt idx="18">
                  <c:v>3846954.9723751512</c:v>
                </c:pt>
                <c:pt idx="19">
                  <c:v>3717820.8017027732</c:v>
                </c:pt>
                <c:pt idx="20">
                  <c:v>3584881.2335177297</c:v>
                </c:pt>
                <c:pt idx="21">
                  <c:v>3448060.503007805</c:v>
                </c:pt>
                <c:pt idx="22">
                  <c:v>3307281.5220501041</c:v>
                </c:pt>
                <c:pt idx="23">
                  <c:v>3162465.8574930099</c:v>
                </c:pt>
                <c:pt idx="24">
                  <c:v>3013533.7090936806</c:v>
                </c:pt>
                <c:pt idx="25">
                  <c:v>2860403.8871057443</c:v>
                </c:pt>
                <c:pt idx="26">
                  <c:v>2702993.7895117453</c:v>
                </c:pt>
                <c:pt idx="27">
                  <c:v>2541219.3788948306</c:v>
                </c:pt>
                <c:pt idx="28">
                  <c:v>2374995.1589440661</c:v>
                </c:pt>
                <c:pt idx="29">
                  <c:v>2204234.1505876984</c:v>
                </c:pt>
                <c:pt idx="30">
                  <c:v>2028847.8677485799</c:v>
                </c:pt>
                <c:pt idx="31">
                  <c:v>1848746.2927158952</c:v>
                </c:pt>
                <c:pt idx="32">
                  <c:v>1663837.8511272313</c:v>
                </c:pt>
                <c:pt idx="33">
                  <c:v>1474029.3865549432</c:v>
                </c:pt>
                <c:pt idx="34">
                  <c:v>1279226.1346906789</c:v>
                </c:pt>
                <c:pt idx="35">
                  <c:v>1079331.6971218248</c:v>
                </c:pt>
                <c:pt idx="36">
                  <c:v>874248.01469354576</c:v>
                </c:pt>
                <c:pt idx="37">
                  <c:v>663875.3404499914</c:v>
                </c:pt>
                <c:pt idx="38">
                  <c:v>448112.21214814426</c:v>
                </c:pt>
                <c:pt idx="39">
                  <c:v>226855.42433768339</c:v>
                </c:pt>
                <c:pt idx="40">
                  <c:v>1.387670636177063E-7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28-41BE-A595-263804C52637}"/>
            </c:ext>
          </c:extLst>
        </c:ser>
        <c:ser>
          <c:idx val="1"/>
          <c:order val="1"/>
          <c:tx>
            <c:strRef>
              <c:f>變動年金!$K$24</c:f>
              <c:strCache>
                <c:ptCount val="1"/>
                <c:pt idx="0">
                  <c:v>變動準備金節餘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變動年金!$A$25:$A$65</c:f>
              <c:numCache>
                <c:formatCode>General</c:formatCode>
                <c:ptCount val="41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64</c:v>
                </c:pt>
                <c:pt idx="5">
                  <c:v>65</c:v>
                </c:pt>
                <c:pt idx="6">
                  <c:v>66</c:v>
                </c:pt>
                <c:pt idx="7">
                  <c:v>67</c:v>
                </c:pt>
                <c:pt idx="8">
                  <c:v>68</c:v>
                </c:pt>
                <c:pt idx="9">
                  <c:v>69</c:v>
                </c:pt>
                <c:pt idx="10">
                  <c:v>70</c:v>
                </c:pt>
                <c:pt idx="11">
                  <c:v>71</c:v>
                </c:pt>
                <c:pt idx="12">
                  <c:v>72</c:v>
                </c:pt>
                <c:pt idx="13">
                  <c:v>73</c:v>
                </c:pt>
                <c:pt idx="14">
                  <c:v>74</c:v>
                </c:pt>
                <c:pt idx="15">
                  <c:v>75</c:v>
                </c:pt>
                <c:pt idx="16">
                  <c:v>76</c:v>
                </c:pt>
                <c:pt idx="17">
                  <c:v>77</c:v>
                </c:pt>
                <c:pt idx="18">
                  <c:v>78</c:v>
                </c:pt>
                <c:pt idx="19">
                  <c:v>79</c:v>
                </c:pt>
                <c:pt idx="20">
                  <c:v>80</c:v>
                </c:pt>
                <c:pt idx="21">
                  <c:v>81</c:v>
                </c:pt>
                <c:pt idx="22">
                  <c:v>82</c:v>
                </c:pt>
                <c:pt idx="23">
                  <c:v>83</c:v>
                </c:pt>
                <c:pt idx="24">
                  <c:v>84</c:v>
                </c:pt>
                <c:pt idx="25">
                  <c:v>85</c:v>
                </c:pt>
                <c:pt idx="26">
                  <c:v>86</c:v>
                </c:pt>
                <c:pt idx="27">
                  <c:v>87</c:v>
                </c:pt>
                <c:pt idx="28">
                  <c:v>88</c:v>
                </c:pt>
                <c:pt idx="29">
                  <c:v>89</c:v>
                </c:pt>
                <c:pt idx="30">
                  <c:v>90</c:v>
                </c:pt>
                <c:pt idx="31">
                  <c:v>91</c:v>
                </c:pt>
                <c:pt idx="32">
                  <c:v>92</c:v>
                </c:pt>
                <c:pt idx="33">
                  <c:v>93</c:v>
                </c:pt>
                <c:pt idx="34">
                  <c:v>94</c:v>
                </c:pt>
                <c:pt idx="35">
                  <c:v>95</c:v>
                </c:pt>
                <c:pt idx="36">
                  <c:v>96</c:v>
                </c:pt>
                <c:pt idx="37">
                  <c:v>97</c:v>
                </c:pt>
                <c:pt idx="38">
                  <c:v>98</c:v>
                </c:pt>
                <c:pt idx="39">
                  <c:v>99</c:v>
                </c:pt>
                <c:pt idx="40">
                  <c:v>100</c:v>
                </c:pt>
              </c:numCache>
            </c:numRef>
          </c:cat>
          <c:val>
            <c:numRef>
              <c:f>變動年金!$K$25:$K$65</c:f>
              <c:numCache>
                <c:formatCode>#,##0_ ;[Red]\-#,##0\ </c:formatCode>
                <c:ptCount val="41"/>
                <c:pt idx="0">
                  <c:v>8370771.5546898777</c:v>
                </c:pt>
                <c:pt idx="1">
                  <c:v>8383641.7986726938</c:v>
                </c:pt>
                <c:pt idx="2">
                  <c:v>8392390.4968014937</c:v>
                </c:pt>
                <c:pt idx="3">
                  <c:v>8396721.4187201057</c:v>
                </c:pt>
                <c:pt idx="4">
                  <c:v>8396320.0708749406</c:v>
                </c:pt>
                <c:pt idx="5">
                  <c:v>8390852.5958293807</c:v>
                </c:pt>
                <c:pt idx="6">
                  <c:v>8379964.6054881066</c:v>
                </c:pt>
                <c:pt idx="7">
                  <c:v>8363279.9442654448</c:v>
                </c:pt>
                <c:pt idx="8">
                  <c:v>8340399.3779939041</c:v>
                </c:pt>
                <c:pt idx="9">
                  <c:v>8310899.2041167971</c:v>
                </c:pt>
                <c:pt idx="10">
                  <c:v>8274329.7784414962</c:v>
                </c:pt>
                <c:pt idx="11">
                  <c:v>8230213.9534464544</c:v>
                </c:pt>
                <c:pt idx="12">
                  <c:v>8178045.4228346935</c:v>
                </c:pt>
                <c:pt idx="13">
                  <c:v>8117286.9667080417</c:v>
                </c:pt>
                <c:pt idx="14">
                  <c:v>8047368.591398824</c:v>
                </c:pt>
                <c:pt idx="15">
                  <c:v>7967685.5576379364</c:v>
                </c:pt>
                <c:pt idx="16">
                  <c:v>7877596.2903589476</c:v>
                </c:pt>
                <c:pt idx="17">
                  <c:v>7776420.1630358463</c:v>
                </c:pt>
                <c:pt idx="18">
                  <c:v>7663435.1490259124</c:v>
                </c:pt>
                <c:pt idx="19">
                  <c:v>7537875.3319374621</c:v>
                </c:pt>
                <c:pt idx="20">
                  <c:v>7398928.2665634044</c:v>
                </c:pt>
                <c:pt idx="21">
                  <c:v>7245732.1814139998</c:v>
                </c:pt>
                <c:pt idx="22">
                  <c:v>7077373.0133441985</c:v>
                </c:pt>
                <c:pt idx="23">
                  <c:v>6892881.2642006632</c:v>
                </c:pt>
                <c:pt idx="24">
                  <c:v>6691228.668809074</c:v>
                </c:pt>
                <c:pt idx="25">
                  <c:v>6471324.662981553</c:v>
                </c:pt>
                <c:pt idx="26">
                  <c:v>6232012.6395448204</c:v>
                </c:pt>
                <c:pt idx="27">
                  <c:v>5972065.9796697274</c:v>
                </c:pt>
                <c:pt idx="28">
                  <c:v>5690183.8460196508</c:v>
                </c:pt>
                <c:pt idx="29">
                  <c:v>5384986.7234262675</c:v>
                </c:pt>
                <c:pt idx="30">
                  <c:v>5055011.6919437349</c:v>
                </c:pt>
                <c:pt idx="31">
                  <c:v>4698707.4162233695</c:v>
                </c:pt>
                <c:pt idx="32">
                  <c:v>4314428.8341874126</c:v>
                </c:pt>
                <c:pt idx="33">
                  <c:v>3900431.5269592046</c:v>
                </c:pt>
                <c:pt idx="34">
                  <c:v>3454865.750924509</c:v>
                </c:pt>
                <c:pt idx="35">
                  <c:v>2975770.1116512092</c:v>
                </c:pt>
                <c:pt idx="36">
                  <c:v>2461064.8581782244</c:v>
                </c:pt>
                <c:pt idx="37">
                  <c:v>1908544.7748951397</c:v>
                </c:pt>
                <c:pt idx="38">
                  <c:v>1315871.646867332</c:v>
                </c:pt>
                <c:pt idx="39">
                  <c:v>680566.27301264077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28-41BE-A595-263804C526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7637360"/>
        <c:axId val="147633440"/>
      </c:barChart>
      <c:catAx>
        <c:axId val="14763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7633440"/>
        <c:crosses val="autoZero"/>
        <c:auto val="1"/>
        <c:lblAlgn val="ctr"/>
        <c:lblOffset val="100"/>
        <c:noMultiLvlLbl val="0"/>
      </c:catAx>
      <c:valAx>
        <c:axId val="147633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7637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229597143891025"/>
          <c:y val="0.88217555266225767"/>
          <c:w val="0.56964082948503725"/>
          <c:h val="8.52024074947862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85000"/>
                  <a:lumOff val="15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  <a:cs typeface="+mn-cs"/>
              </a:defRPr>
            </a:pPr>
            <a:r>
              <a:rPr lang="zh-TW" altLang="en-US"/>
              <a:t>可提領年金</a:t>
            </a:r>
            <a:endParaRPr lang="zh-TW"/>
          </a:p>
        </c:rich>
      </c:tx>
      <c:layout>
        <c:manualLayout>
          <c:xMode val="edge"/>
          <c:yMode val="edge"/>
          <c:x val="0.43949668606944226"/>
          <c:y val="2.749887209065737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4558770778652669"/>
          <c:y val="0.14388723586438121"/>
          <c:w val="0.82893150481884581"/>
          <c:h val="0.679341561554641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變動年金!$C$24</c:f>
              <c:strCache>
                <c:ptCount val="1"/>
                <c:pt idx="0">
                  <c:v>保證年金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變動年金!$A$25:$A$75</c:f>
              <c:numCache>
                <c:formatCode>General</c:formatCode>
                <c:ptCount val="51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64</c:v>
                </c:pt>
                <c:pt idx="5">
                  <c:v>65</c:v>
                </c:pt>
                <c:pt idx="6">
                  <c:v>66</c:v>
                </c:pt>
                <c:pt idx="7">
                  <c:v>67</c:v>
                </c:pt>
                <c:pt idx="8">
                  <c:v>68</c:v>
                </c:pt>
                <c:pt idx="9">
                  <c:v>69</c:v>
                </c:pt>
                <c:pt idx="10">
                  <c:v>70</c:v>
                </c:pt>
                <c:pt idx="11">
                  <c:v>71</c:v>
                </c:pt>
                <c:pt idx="12">
                  <c:v>72</c:v>
                </c:pt>
                <c:pt idx="13">
                  <c:v>73</c:v>
                </c:pt>
                <c:pt idx="14">
                  <c:v>74</c:v>
                </c:pt>
                <c:pt idx="15">
                  <c:v>75</c:v>
                </c:pt>
                <c:pt idx="16">
                  <c:v>76</c:v>
                </c:pt>
                <c:pt idx="17">
                  <c:v>77</c:v>
                </c:pt>
                <c:pt idx="18">
                  <c:v>78</c:v>
                </c:pt>
                <c:pt idx="19">
                  <c:v>79</c:v>
                </c:pt>
                <c:pt idx="20">
                  <c:v>80</c:v>
                </c:pt>
                <c:pt idx="21">
                  <c:v>81</c:v>
                </c:pt>
                <c:pt idx="22">
                  <c:v>82</c:v>
                </c:pt>
                <c:pt idx="23">
                  <c:v>83</c:v>
                </c:pt>
                <c:pt idx="24">
                  <c:v>84</c:v>
                </c:pt>
                <c:pt idx="25">
                  <c:v>85</c:v>
                </c:pt>
                <c:pt idx="26">
                  <c:v>86</c:v>
                </c:pt>
                <c:pt idx="27">
                  <c:v>87</c:v>
                </c:pt>
                <c:pt idx="28">
                  <c:v>88</c:v>
                </c:pt>
                <c:pt idx="29">
                  <c:v>89</c:v>
                </c:pt>
                <c:pt idx="30">
                  <c:v>90</c:v>
                </c:pt>
                <c:pt idx="31">
                  <c:v>91</c:v>
                </c:pt>
                <c:pt idx="32">
                  <c:v>92</c:v>
                </c:pt>
                <c:pt idx="33">
                  <c:v>93</c:v>
                </c:pt>
                <c:pt idx="34">
                  <c:v>94</c:v>
                </c:pt>
                <c:pt idx="35">
                  <c:v>95</c:v>
                </c:pt>
                <c:pt idx="36">
                  <c:v>96</c:v>
                </c:pt>
                <c:pt idx="37">
                  <c:v>97</c:v>
                </c:pt>
                <c:pt idx="38">
                  <c:v>98</c:v>
                </c:pt>
                <c:pt idx="39">
                  <c:v>99</c:v>
                </c:pt>
                <c:pt idx="40">
                  <c:v>100</c:v>
                </c:pt>
                <c:pt idx="41">
                  <c:v>101</c:v>
                </c:pt>
                <c:pt idx="42">
                  <c:v>102</c:v>
                </c:pt>
                <c:pt idx="43">
                  <c:v>103</c:v>
                </c:pt>
                <c:pt idx="44">
                  <c:v>104</c:v>
                </c:pt>
                <c:pt idx="45">
                  <c:v>105</c:v>
                </c:pt>
                <c:pt idx="46">
                  <c:v>106</c:v>
                </c:pt>
                <c:pt idx="47">
                  <c:v>107</c:v>
                </c:pt>
                <c:pt idx="48">
                  <c:v>108</c:v>
                </c:pt>
                <c:pt idx="49">
                  <c:v>109</c:v>
                </c:pt>
                <c:pt idx="50">
                  <c:v>110</c:v>
                </c:pt>
              </c:numCache>
            </c:numRef>
          </c:cat>
          <c:val>
            <c:numRef>
              <c:f>變動年金!$C$25:$C$65</c:f>
              <c:numCache>
                <c:formatCode>#,##0_ ;[Red]\-#,##0\ </c:formatCode>
                <c:ptCount val="41"/>
                <c:pt idx="0">
                  <c:v>153891.83940206812</c:v>
                </c:pt>
                <c:pt idx="1">
                  <c:v>155430.75779608879</c:v>
                </c:pt>
                <c:pt idx="2">
                  <c:v>156985.06537404968</c:v>
                </c:pt>
                <c:pt idx="3">
                  <c:v>158554.91602779017</c:v>
                </c:pt>
                <c:pt idx="4">
                  <c:v>160140.46518806808</c:v>
                </c:pt>
                <c:pt idx="5">
                  <c:v>161741.86983994875</c:v>
                </c:pt>
                <c:pt idx="6">
                  <c:v>163359.28853834825</c:v>
                </c:pt>
                <c:pt idx="7">
                  <c:v>164992.88142373174</c:v>
                </c:pt>
                <c:pt idx="8">
                  <c:v>166642.81023796907</c:v>
                </c:pt>
                <c:pt idx="9">
                  <c:v>168309.23834034876</c:v>
                </c:pt>
                <c:pt idx="10">
                  <c:v>169992.33072375224</c:v>
                </c:pt>
                <c:pt idx="11">
                  <c:v>171692.25403098977</c:v>
                </c:pt>
                <c:pt idx="12">
                  <c:v>173409.17657129967</c:v>
                </c:pt>
                <c:pt idx="13">
                  <c:v>175143.26833701268</c:v>
                </c:pt>
                <c:pt idx="14">
                  <c:v>176894.70102038281</c:v>
                </c:pt>
                <c:pt idx="15">
                  <c:v>178663.64803058663</c:v>
                </c:pt>
                <c:pt idx="16">
                  <c:v>180450.2845108925</c:v>
                </c:pt>
                <c:pt idx="17">
                  <c:v>182254.78735600141</c:v>
                </c:pt>
                <c:pt idx="18">
                  <c:v>184077.33522956143</c:v>
                </c:pt>
                <c:pt idx="19">
                  <c:v>185918.10858185706</c:v>
                </c:pt>
                <c:pt idx="20">
                  <c:v>187777.28966767562</c:v>
                </c:pt>
                <c:pt idx="21">
                  <c:v>189655.06256435238</c:v>
                </c:pt>
                <c:pt idx="22">
                  <c:v>191551.6131899959</c:v>
                </c:pt>
                <c:pt idx="23">
                  <c:v>193467.12932189586</c:v>
                </c:pt>
                <c:pt idx="24">
                  <c:v>195401.80061511483</c:v>
                </c:pt>
                <c:pt idx="25">
                  <c:v>197355.81862126599</c:v>
                </c:pt>
                <c:pt idx="26">
                  <c:v>199329.37680747866</c:v>
                </c:pt>
                <c:pt idx="27">
                  <c:v>201322.67057555346</c:v>
                </c:pt>
                <c:pt idx="28">
                  <c:v>203335.89728130901</c:v>
                </c:pt>
                <c:pt idx="29">
                  <c:v>205369.2562541221</c:v>
                </c:pt>
                <c:pt idx="30">
                  <c:v>207422.94881666332</c:v>
                </c:pt>
                <c:pt idx="31">
                  <c:v>209497.17830482995</c:v>
                </c:pt>
                <c:pt idx="32">
                  <c:v>211592.15008787825</c:v>
                </c:pt>
                <c:pt idx="33">
                  <c:v>213708.07158875704</c:v>
                </c:pt>
                <c:pt idx="34">
                  <c:v>215845.15230464461</c:v>
                </c:pt>
                <c:pt idx="35">
                  <c:v>218003.60382769105</c:v>
                </c:pt>
                <c:pt idx="36">
                  <c:v>220183.63986596797</c:v>
                </c:pt>
                <c:pt idx="37">
                  <c:v>222385.47626462765</c:v>
                </c:pt>
                <c:pt idx="38">
                  <c:v>224609.33102727393</c:v>
                </c:pt>
                <c:pt idx="39">
                  <c:v>226855.42433754666</c:v>
                </c:pt>
                <c:pt idx="40">
                  <c:v>229123.97858092212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9C-4F5E-B988-50FFD35D56E2}"/>
            </c:ext>
          </c:extLst>
        </c:ser>
        <c:ser>
          <c:idx val="1"/>
          <c:order val="1"/>
          <c:tx>
            <c:strRef>
              <c:f>變動年金!$G$24</c:f>
              <c:strCache>
                <c:ptCount val="1"/>
                <c:pt idx="0">
                  <c:v>變動年金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變動年金!$A$25:$A$75</c:f>
              <c:numCache>
                <c:formatCode>General</c:formatCode>
                <c:ptCount val="51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64</c:v>
                </c:pt>
                <c:pt idx="5">
                  <c:v>65</c:v>
                </c:pt>
                <c:pt idx="6">
                  <c:v>66</c:v>
                </c:pt>
                <c:pt idx="7">
                  <c:v>67</c:v>
                </c:pt>
                <c:pt idx="8">
                  <c:v>68</c:v>
                </c:pt>
                <c:pt idx="9">
                  <c:v>69</c:v>
                </c:pt>
                <c:pt idx="10">
                  <c:v>70</c:v>
                </c:pt>
                <c:pt idx="11">
                  <c:v>71</c:v>
                </c:pt>
                <c:pt idx="12">
                  <c:v>72</c:v>
                </c:pt>
                <c:pt idx="13">
                  <c:v>73</c:v>
                </c:pt>
                <c:pt idx="14">
                  <c:v>74</c:v>
                </c:pt>
                <c:pt idx="15">
                  <c:v>75</c:v>
                </c:pt>
                <c:pt idx="16">
                  <c:v>76</c:v>
                </c:pt>
                <c:pt idx="17">
                  <c:v>77</c:v>
                </c:pt>
                <c:pt idx="18">
                  <c:v>78</c:v>
                </c:pt>
                <c:pt idx="19">
                  <c:v>79</c:v>
                </c:pt>
                <c:pt idx="20">
                  <c:v>80</c:v>
                </c:pt>
                <c:pt idx="21">
                  <c:v>81</c:v>
                </c:pt>
                <c:pt idx="22">
                  <c:v>82</c:v>
                </c:pt>
                <c:pt idx="23">
                  <c:v>83</c:v>
                </c:pt>
                <c:pt idx="24">
                  <c:v>84</c:v>
                </c:pt>
                <c:pt idx="25">
                  <c:v>85</c:v>
                </c:pt>
                <c:pt idx="26">
                  <c:v>86</c:v>
                </c:pt>
                <c:pt idx="27">
                  <c:v>87</c:v>
                </c:pt>
                <c:pt idx="28">
                  <c:v>88</c:v>
                </c:pt>
                <c:pt idx="29">
                  <c:v>89</c:v>
                </c:pt>
                <c:pt idx="30">
                  <c:v>90</c:v>
                </c:pt>
                <c:pt idx="31">
                  <c:v>91</c:v>
                </c:pt>
                <c:pt idx="32">
                  <c:v>92</c:v>
                </c:pt>
                <c:pt idx="33">
                  <c:v>93</c:v>
                </c:pt>
                <c:pt idx="34">
                  <c:v>94</c:v>
                </c:pt>
                <c:pt idx="35">
                  <c:v>95</c:v>
                </c:pt>
                <c:pt idx="36">
                  <c:v>96</c:v>
                </c:pt>
                <c:pt idx="37">
                  <c:v>97</c:v>
                </c:pt>
                <c:pt idx="38">
                  <c:v>98</c:v>
                </c:pt>
                <c:pt idx="39">
                  <c:v>99</c:v>
                </c:pt>
                <c:pt idx="40">
                  <c:v>100</c:v>
                </c:pt>
                <c:pt idx="41">
                  <c:v>101</c:v>
                </c:pt>
                <c:pt idx="42">
                  <c:v>102</c:v>
                </c:pt>
                <c:pt idx="43">
                  <c:v>103</c:v>
                </c:pt>
                <c:pt idx="44">
                  <c:v>104</c:v>
                </c:pt>
                <c:pt idx="45">
                  <c:v>105</c:v>
                </c:pt>
                <c:pt idx="46">
                  <c:v>106</c:v>
                </c:pt>
                <c:pt idx="47">
                  <c:v>107</c:v>
                </c:pt>
                <c:pt idx="48">
                  <c:v>108</c:v>
                </c:pt>
                <c:pt idx="49">
                  <c:v>109</c:v>
                </c:pt>
                <c:pt idx="50">
                  <c:v>110</c:v>
                </c:pt>
              </c:numCache>
            </c:numRef>
          </c:cat>
          <c:val>
            <c:numRef>
              <c:f>變動年金!$G$25:$G$65</c:f>
              <c:numCache>
                <c:formatCode>#,##0_ ;[Red]\-#,##0\ </c:formatCode>
                <c:ptCount val="41"/>
                <c:pt idx="0">
                  <c:v>461675.51820620435</c:v>
                </c:pt>
                <c:pt idx="1">
                  <c:v>466292.27338826639</c:v>
                </c:pt>
                <c:pt idx="2">
                  <c:v>470955.19612214906</c:v>
                </c:pt>
                <c:pt idx="3">
                  <c:v>475664.74808337056</c:v>
                </c:pt>
                <c:pt idx="4">
                  <c:v>480421.39556420426</c:v>
                </c:pt>
                <c:pt idx="5">
                  <c:v>485225.60951984633</c:v>
                </c:pt>
                <c:pt idx="6">
                  <c:v>490077.86561504478</c:v>
                </c:pt>
                <c:pt idx="7">
                  <c:v>494978.64427119523</c:v>
                </c:pt>
                <c:pt idx="8">
                  <c:v>499928.43071390723</c:v>
                </c:pt>
                <c:pt idx="9">
                  <c:v>504927.71502104629</c:v>
                </c:pt>
                <c:pt idx="10">
                  <c:v>509976.99217125674</c:v>
                </c:pt>
                <c:pt idx="11">
                  <c:v>515076.76209296932</c:v>
                </c:pt>
                <c:pt idx="12">
                  <c:v>520227.52971389901</c:v>
                </c:pt>
                <c:pt idx="13">
                  <c:v>525429.80501103797</c:v>
                </c:pt>
                <c:pt idx="14">
                  <c:v>530684.10306114831</c:v>
                </c:pt>
                <c:pt idx="15">
                  <c:v>535990.94409175985</c:v>
                </c:pt>
                <c:pt idx="16">
                  <c:v>541350.85353267752</c:v>
                </c:pt>
                <c:pt idx="17">
                  <c:v>546764.36206800432</c:v>
                </c:pt>
                <c:pt idx="18">
                  <c:v>552232.00568868441</c:v>
                </c:pt>
                <c:pt idx="19">
                  <c:v>557754.32574557129</c:v>
                </c:pt>
                <c:pt idx="20">
                  <c:v>563331.86900302698</c:v>
                </c:pt>
                <c:pt idx="21">
                  <c:v>568965.18769305723</c:v>
                </c:pt>
                <c:pt idx="22">
                  <c:v>574654.83956998785</c:v>
                </c:pt>
                <c:pt idx="23">
                  <c:v>580401.38796568778</c:v>
                </c:pt>
                <c:pt idx="24">
                  <c:v>586205.40184534469</c:v>
                </c:pt>
                <c:pt idx="25">
                  <c:v>592067.45586379815</c:v>
                </c:pt>
                <c:pt idx="26">
                  <c:v>597988.13042243617</c:v>
                </c:pt>
                <c:pt idx="27">
                  <c:v>603968.01172666054</c:v>
                </c:pt>
                <c:pt idx="28">
                  <c:v>610007.69184392714</c:v>
                </c:pt>
                <c:pt idx="29">
                  <c:v>616107.76876236638</c:v>
                </c:pt>
                <c:pt idx="30">
                  <c:v>622268.84644999006</c:v>
                </c:pt>
                <c:pt idx="31">
                  <c:v>628491.53491448995</c:v>
                </c:pt>
                <c:pt idx="32">
                  <c:v>634776.45026363491</c:v>
                </c:pt>
                <c:pt idx="33">
                  <c:v>641124.2147662713</c:v>
                </c:pt>
                <c:pt idx="34">
                  <c:v>647535.45691393397</c:v>
                </c:pt>
                <c:pt idx="35">
                  <c:v>654010.81148307328</c:v>
                </c:pt>
                <c:pt idx="36">
                  <c:v>660550.91959790397</c:v>
                </c:pt>
                <c:pt idx="37">
                  <c:v>667156.42879388307</c:v>
                </c:pt>
                <c:pt idx="38">
                  <c:v>673827.99308182194</c:v>
                </c:pt>
                <c:pt idx="39">
                  <c:v>680566.27301264019</c:v>
                </c:pt>
                <c:pt idx="40">
                  <c:v>687371.9357427666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9C-4F5E-B988-50FFD35D56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635792"/>
        <c:axId val="147637752"/>
      </c:barChart>
      <c:lineChart>
        <c:grouping val="standard"/>
        <c:varyColors val="0"/>
        <c:ser>
          <c:idx val="2"/>
          <c:order val="2"/>
          <c:tx>
            <c:strRef>
              <c:f>變動年金!$F$24</c:f>
              <c:strCache>
                <c:ptCount val="1"/>
                <c:pt idx="0">
                  <c:v>變動年金規劃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變動年金!$A$25:$A$65</c:f>
              <c:numCache>
                <c:formatCode>General</c:formatCode>
                <c:ptCount val="41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64</c:v>
                </c:pt>
                <c:pt idx="5">
                  <c:v>65</c:v>
                </c:pt>
                <c:pt idx="6">
                  <c:v>66</c:v>
                </c:pt>
                <c:pt idx="7">
                  <c:v>67</c:v>
                </c:pt>
                <c:pt idx="8">
                  <c:v>68</c:v>
                </c:pt>
                <c:pt idx="9">
                  <c:v>69</c:v>
                </c:pt>
                <c:pt idx="10">
                  <c:v>70</c:v>
                </c:pt>
                <c:pt idx="11">
                  <c:v>71</c:v>
                </c:pt>
                <c:pt idx="12">
                  <c:v>72</c:v>
                </c:pt>
                <c:pt idx="13">
                  <c:v>73</c:v>
                </c:pt>
                <c:pt idx="14">
                  <c:v>74</c:v>
                </c:pt>
                <c:pt idx="15">
                  <c:v>75</c:v>
                </c:pt>
                <c:pt idx="16">
                  <c:v>76</c:v>
                </c:pt>
                <c:pt idx="17">
                  <c:v>77</c:v>
                </c:pt>
                <c:pt idx="18">
                  <c:v>78</c:v>
                </c:pt>
                <c:pt idx="19">
                  <c:v>79</c:v>
                </c:pt>
                <c:pt idx="20">
                  <c:v>80</c:v>
                </c:pt>
                <c:pt idx="21">
                  <c:v>81</c:v>
                </c:pt>
                <c:pt idx="22">
                  <c:v>82</c:v>
                </c:pt>
                <c:pt idx="23">
                  <c:v>83</c:v>
                </c:pt>
                <c:pt idx="24">
                  <c:v>84</c:v>
                </c:pt>
                <c:pt idx="25">
                  <c:v>85</c:v>
                </c:pt>
                <c:pt idx="26">
                  <c:v>86</c:v>
                </c:pt>
                <c:pt idx="27">
                  <c:v>87</c:v>
                </c:pt>
                <c:pt idx="28">
                  <c:v>88</c:v>
                </c:pt>
                <c:pt idx="29">
                  <c:v>89</c:v>
                </c:pt>
                <c:pt idx="30">
                  <c:v>90</c:v>
                </c:pt>
                <c:pt idx="31">
                  <c:v>91</c:v>
                </c:pt>
                <c:pt idx="32">
                  <c:v>92</c:v>
                </c:pt>
                <c:pt idx="33">
                  <c:v>93</c:v>
                </c:pt>
                <c:pt idx="34">
                  <c:v>94</c:v>
                </c:pt>
                <c:pt idx="35">
                  <c:v>95</c:v>
                </c:pt>
                <c:pt idx="36">
                  <c:v>96</c:v>
                </c:pt>
                <c:pt idx="37">
                  <c:v>97</c:v>
                </c:pt>
                <c:pt idx="38">
                  <c:v>98</c:v>
                </c:pt>
                <c:pt idx="39">
                  <c:v>99</c:v>
                </c:pt>
                <c:pt idx="40">
                  <c:v>100</c:v>
                </c:pt>
              </c:numCache>
            </c:numRef>
          </c:cat>
          <c:val>
            <c:numRef>
              <c:f>變動年金!$F$25:$F$65</c:f>
              <c:numCache>
                <c:formatCode>#,##0_ ;[Red]\-#,##0\ </c:formatCode>
                <c:ptCount val="41"/>
                <c:pt idx="0">
                  <c:v>461675.51820620435</c:v>
                </c:pt>
                <c:pt idx="1">
                  <c:v>466292.27338826639</c:v>
                </c:pt>
                <c:pt idx="2">
                  <c:v>470955.19612214906</c:v>
                </c:pt>
                <c:pt idx="3">
                  <c:v>475664.7480833705</c:v>
                </c:pt>
                <c:pt idx="4">
                  <c:v>480421.39556420426</c:v>
                </c:pt>
                <c:pt idx="5">
                  <c:v>485225.60951984627</c:v>
                </c:pt>
                <c:pt idx="6">
                  <c:v>490077.86561504484</c:v>
                </c:pt>
                <c:pt idx="7">
                  <c:v>494978.64427119511</c:v>
                </c:pt>
                <c:pt idx="8">
                  <c:v>499928.43071390723</c:v>
                </c:pt>
                <c:pt idx="9">
                  <c:v>504927.71502104634</c:v>
                </c:pt>
                <c:pt idx="10">
                  <c:v>509976.9921712568</c:v>
                </c:pt>
                <c:pt idx="11">
                  <c:v>515076.76209296926</c:v>
                </c:pt>
                <c:pt idx="12">
                  <c:v>520227.52971389896</c:v>
                </c:pt>
                <c:pt idx="13">
                  <c:v>525429.80501103797</c:v>
                </c:pt>
                <c:pt idx="14">
                  <c:v>530684.10306114843</c:v>
                </c:pt>
                <c:pt idx="15">
                  <c:v>535990.94409175974</c:v>
                </c:pt>
                <c:pt idx="16">
                  <c:v>541350.85353267752</c:v>
                </c:pt>
                <c:pt idx="17">
                  <c:v>546764.36206800432</c:v>
                </c:pt>
                <c:pt idx="18">
                  <c:v>552232.00568868441</c:v>
                </c:pt>
                <c:pt idx="19">
                  <c:v>557754.32574557106</c:v>
                </c:pt>
                <c:pt idx="20">
                  <c:v>563331.86900302686</c:v>
                </c:pt>
                <c:pt idx="21">
                  <c:v>568965.18769305712</c:v>
                </c:pt>
                <c:pt idx="22">
                  <c:v>574654.83956998785</c:v>
                </c:pt>
                <c:pt idx="23">
                  <c:v>580401.38796568755</c:v>
                </c:pt>
                <c:pt idx="24">
                  <c:v>586205.40184534458</c:v>
                </c:pt>
                <c:pt idx="25">
                  <c:v>592067.45586379815</c:v>
                </c:pt>
                <c:pt idx="26">
                  <c:v>597988.13042243605</c:v>
                </c:pt>
                <c:pt idx="27">
                  <c:v>603968.01172666019</c:v>
                </c:pt>
                <c:pt idx="28">
                  <c:v>610007.69184392691</c:v>
                </c:pt>
                <c:pt idx="29">
                  <c:v>616107.76876236615</c:v>
                </c:pt>
                <c:pt idx="30">
                  <c:v>622268.84644998994</c:v>
                </c:pt>
                <c:pt idx="31">
                  <c:v>628491.5349144896</c:v>
                </c:pt>
                <c:pt idx="32">
                  <c:v>634776.45026363467</c:v>
                </c:pt>
                <c:pt idx="33">
                  <c:v>641124.21476627106</c:v>
                </c:pt>
                <c:pt idx="34">
                  <c:v>647535.45691393374</c:v>
                </c:pt>
                <c:pt idx="35">
                  <c:v>654010.81148307305</c:v>
                </c:pt>
                <c:pt idx="36">
                  <c:v>660550.91959790385</c:v>
                </c:pt>
                <c:pt idx="37">
                  <c:v>667156.42879388283</c:v>
                </c:pt>
                <c:pt idx="38">
                  <c:v>673827.99308182171</c:v>
                </c:pt>
                <c:pt idx="39">
                  <c:v>680566.27301263972</c:v>
                </c:pt>
                <c:pt idx="40">
                  <c:v>687371.93574276636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9C-4F5E-B988-50FFD35D56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635792"/>
        <c:axId val="147637752"/>
      </c:lineChart>
      <c:catAx>
        <c:axId val="14763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  <a:cs typeface="+mn-cs"/>
              </a:defRPr>
            </a:pPr>
            <a:endParaRPr lang="zh-TW"/>
          </a:p>
        </c:txPr>
        <c:crossAx val="147637752"/>
        <c:crosses val="autoZero"/>
        <c:auto val="1"/>
        <c:lblAlgn val="ctr"/>
        <c:lblOffset val="100"/>
        <c:noMultiLvlLbl val="0"/>
      </c:catAx>
      <c:valAx>
        <c:axId val="147637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  <a:cs typeface="+mn-cs"/>
              </a:defRPr>
            </a:pPr>
            <a:endParaRPr lang="zh-TW"/>
          </a:p>
        </c:txPr>
        <c:crossAx val="147635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802197802197802"/>
          <c:y val="0.91622117235345568"/>
          <c:w val="0.54395604395604391"/>
          <c:h val="7.93343832020997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95000"/>
                  <a:lumOff val="5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>
              <a:lumMod val="95000"/>
              <a:lumOff val="5000"/>
            </a:schemeClr>
          </a:solidFill>
          <a:latin typeface="微軟正黑體" panose="020B0604030504040204" pitchFamily="34" charset="-120"/>
          <a:ea typeface="微軟正黑體" panose="020B0604030504040204" pitchFamily="34" charset="-120"/>
        </a:defRPr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16916</xdr:colOff>
      <xdr:row>0</xdr:row>
      <xdr:rowOff>29135</xdr:rowOff>
    </xdr:from>
    <xdr:to>
      <xdr:col>8</xdr:col>
      <xdr:colOff>247154</xdr:colOff>
      <xdr:row>10</xdr:row>
      <xdr:rowOff>183211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7FAE93D7-CA1E-437F-A954-AB997C283C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2846</xdr:colOff>
      <xdr:row>11</xdr:row>
      <xdr:rowOff>50359</xdr:rowOff>
    </xdr:from>
    <xdr:to>
      <xdr:col>8</xdr:col>
      <xdr:colOff>226282</xdr:colOff>
      <xdr:row>22</xdr:row>
      <xdr:rowOff>91440</xdr:rowOff>
    </xdr:to>
    <xdr:graphicFrame macro="">
      <xdr:nvGraphicFramePr>
        <xdr:cNvPr id="4" name="圖表 3">
          <a:extLst>
            <a:ext uri="{FF2B5EF4-FFF2-40B4-BE49-F238E27FC236}">
              <a16:creationId xmlns:a16="http://schemas.microsoft.com/office/drawing/2014/main" id="{B4432FC6-323A-4759-BC0D-A4A2E1E23011}"/>
            </a:ext>
            <a:ext uri="{147F2762-F138-4A5C-976F-8EAC2B608ADB}">
              <a16:predDERef xmlns:a16="http://schemas.microsoft.com/office/drawing/2014/main" pred="{7FAE93D7-CA1E-437F-A954-AB997C283C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明細表" displayName="明細表" ref="A24:L75" totalsRowShown="0" headerRowDxfId="14" dataDxfId="13">
  <tableColumns count="12">
    <tableColumn id="1" name="年齡" dataDxfId="12">
      <calculatedColumnFormula>A24+1</calculatedColumnFormula>
    </tableColumn>
    <tableColumn id="7" name="年數" dataDxfId="11">
      <calculatedColumnFormula>明細表[[#This Row],[年齡]]-$A$25</calculatedColumnFormula>
    </tableColumn>
    <tableColumn id="2" name="保證年金" dataDxfId="10">
      <calculatedColumnFormula>退休時保證年金*(1+通貨膨脹率)^明細表[[#This Row],[年數]]</calculatedColumnFormula>
    </tableColumn>
    <tableColumn id="12" name="保證部位利息" dataDxfId="9"/>
    <tableColumn id="11" name="保證準備金結餘" dataDxfId="8"/>
    <tableColumn id="8" name="變動年金規劃" dataDxfId="7">
      <calculatedColumnFormula>退休時變動年金*(1+通貨膨脹率)^明細表[[#This Row],[年數]]</calculatedColumnFormula>
    </tableColumn>
    <tableColumn id="10" name="變動年金" dataDxfId="6"/>
    <tableColumn id="9" name="實際報酬率" dataDxfId="5"/>
    <tableColumn id="5" name="報酬率" dataDxfId="4">
      <calculatedColumnFormula>IF(試算模式="規劃",變動部位報酬率,IF(試算模式="模擬", _xlfn.NORM.INV(RAND(),變動部位報酬率,變動部位標準差),明細表[[#This Row],[實際報酬率]]))</calculatedColumnFormula>
    </tableColumn>
    <tableColumn id="3" name="變動部位獲利" dataDxfId="3"/>
    <tableColumn id="4" name="變動準備金節餘" dataDxfId="2"/>
    <tableColumn id="13" name="總結餘" dataDxfId="1">
      <calculatedColumnFormula>明細表[[#This Row],[保證準備金結餘]]+明細表[[#This Row],[變動準備金節餘]]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8"/>
  <sheetViews>
    <sheetView tabSelected="1" topLeftCell="A9" zoomScale="115" zoomScaleNormal="115" workbookViewId="0">
      <selection activeCell="C43" sqref="C43"/>
    </sheetView>
  </sheetViews>
  <sheetFormatPr defaultColWidth="8.921875" defaultRowHeight="15.45" x14ac:dyDescent="0.45"/>
  <cols>
    <col min="1" max="1" width="25.4609375" style="1" bestFit="1" customWidth="1"/>
    <col min="2" max="2" width="16.15234375" style="1" customWidth="1"/>
    <col min="3" max="3" width="15" style="1" customWidth="1"/>
    <col min="4" max="4" width="14.84375" style="1" customWidth="1"/>
    <col min="5" max="5" width="17.921875" style="1" bestFit="1" customWidth="1"/>
    <col min="6" max="7" width="17.3828125" style="1" customWidth="1"/>
    <col min="8" max="8" width="14.15234375" style="1" bestFit="1" customWidth="1"/>
    <col min="9" max="9" width="17.3828125" style="1" customWidth="1"/>
    <col min="10" max="10" width="15.61328125" style="1" bestFit="1" customWidth="1"/>
    <col min="11" max="11" width="18.07421875" style="1" bestFit="1" customWidth="1"/>
    <col min="12" max="12" width="15.3828125" style="1" bestFit="1" customWidth="1"/>
    <col min="13" max="15" width="12.61328125" style="1" bestFit="1" customWidth="1"/>
    <col min="16" max="16384" width="8.921875" style="1"/>
  </cols>
  <sheetData>
    <row r="1" spans="1:15" ht="18.45" x14ac:dyDescent="0.45">
      <c r="A1" s="16" t="s">
        <v>20</v>
      </c>
    </row>
    <row r="2" spans="1:15" ht="18.45" x14ac:dyDescent="0.45">
      <c r="A2" s="9" t="s">
        <v>23</v>
      </c>
      <c r="B2" s="11">
        <v>35</v>
      </c>
      <c r="J2" s="26">
        <f>每月投入金額</f>
        <v>15369.140128074872</v>
      </c>
      <c r="K2" s="24">
        <v>0.01</v>
      </c>
      <c r="L2" s="25">
        <v>0.04</v>
      </c>
      <c r="M2" s="24">
        <v>0.06</v>
      </c>
      <c r="N2" s="25">
        <v>0.08</v>
      </c>
      <c r="O2" s="24">
        <v>0.1</v>
      </c>
    </row>
    <row r="3" spans="1:15" ht="18.45" x14ac:dyDescent="0.45">
      <c r="A3" s="9" t="s">
        <v>21</v>
      </c>
      <c r="B3" s="11">
        <v>60</v>
      </c>
      <c r="J3" s="29">
        <v>25</v>
      </c>
      <c r="K3" s="27">
        <f t="dataTable" ref="K3:O9" dt2D="1" dtr="1" r1="B19" r2="B2"/>
        <v>30728.196963533275</v>
      </c>
      <c r="L3" s="27">
        <v>17148.303676726129</v>
      </c>
      <c r="M3" s="27">
        <v>11234.696208919933</v>
      </c>
      <c r="N3" s="27">
        <v>7202.5841875767373</v>
      </c>
      <c r="O3" s="27">
        <v>4540.4449021866858</v>
      </c>
    </row>
    <row r="4" spans="1:15" ht="18.45" x14ac:dyDescent="0.45">
      <c r="A4" s="9" t="s">
        <v>28</v>
      </c>
      <c r="B4" s="11">
        <v>120000</v>
      </c>
      <c r="J4" s="30">
        <v>30</v>
      </c>
      <c r="K4" s="28">
        <v>35015.609817134238</v>
      </c>
      <c r="L4" s="28">
        <v>21426.632706089575</v>
      </c>
      <c r="M4" s="28">
        <v>15067.05513972645</v>
      </c>
      <c r="N4" s="28">
        <v>10424.219643573184</v>
      </c>
      <c r="O4" s="28">
        <v>7117.8652297542976</v>
      </c>
    </row>
    <row r="5" spans="1:15" ht="18.45" x14ac:dyDescent="0.45">
      <c r="A5" s="9" t="s">
        <v>29</v>
      </c>
      <c r="B5" s="20">
        <f>保證年金現值*(1+通貨膨脹率)^(退休年齡-目前年齡)</f>
        <v>153891.83940206812</v>
      </c>
      <c r="J5" s="29">
        <v>35</v>
      </c>
      <c r="K5" s="27">
        <v>41032.840780649029</v>
      </c>
      <c r="L5" s="27">
        <v>27454.969141657766</v>
      </c>
      <c r="M5" s="27">
        <v>20657.45590767666</v>
      </c>
      <c r="N5" s="27">
        <v>15369.140128074872</v>
      </c>
      <c r="O5" s="27">
        <v>11327.436444677642</v>
      </c>
    </row>
    <row r="6" spans="1:15" ht="18.45" x14ac:dyDescent="0.45">
      <c r="A6" s="9" t="s">
        <v>27</v>
      </c>
      <c r="B6" s="11">
        <v>360000</v>
      </c>
      <c r="C6" s="7"/>
      <c r="J6" s="30">
        <v>40</v>
      </c>
      <c r="K6" s="28">
        <v>50077.303978444637</v>
      </c>
      <c r="L6" s="28">
        <v>36533.371893926233</v>
      </c>
      <c r="M6" s="28">
        <v>29314.584700522453</v>
      </c>
      <c r="N6" s="28">
        <v>23360.961238211243</v>
      </c>
      <c r="O6" s="28">
        <v>18506.361881739809</v>
      </c>
    </row>
    <row r="7" spans="1:15" ht="18.45" x14ac:dyDescent="0.45">
      <c r="A7" s="9" t="s">
        <v>30</v>
      </c>
      <c r="B7" s="20">
        <f>變動年金現值*(1+通貨膨脹率)^(退休年齡-目前年齡)</f>
        <v>461675.51820620435</v>
      </c>
      <c r="C7" s="7"/>
      <c r="J7" s="29">
        <v>45</v>
      </c>
      <c r="K7" s="27">
        <v>65176.286943917738</v>
      </c>
      <c r="L7" s="27">
        <v>51693.705887146141</v>
      </c>
      <c r="M7" s="27">
        <v>44080.532338104626</v>
      </c>
      <c r="N7" s="27">
        <v>37461.473052631314</v>
      </c>
      <c r="O7" s="27">
        <v>31741.550504378909</v>
      </c>
    </row>
    <row r="8" spans="1:15" ht="18.45" x14ac:dyDescent="0.45">
      <c r="A8" s="9" t="s">
        <v>4</v>
      </c>
      <c r="B8" s="10">
        <v>0.01</v>
      </c>
      <c r="J8" s="30">
        <v>50</v>
      </c>
      <c r="K8" s="28">
        <v>95411.633996325167</v>
      </c>
      <c r="L8" s="28">
        <v>82029.578046860479</v>
      </c>
      <c r="M8" s="28">
        <v>74063.82626647834</v>
      </c>
      <c r="N8" s="28">
        <v>66806.125568266172</v>
      </c>
      <c r="O8" s="28">
        <v>60208.0086451526</v>
      </c>
    </row>
    <row r="9" spans="1:15" ht="18.45" x14ac:dyDescent="0.45">
      <c r="A9" s="9" t="s">
        <v>16</v>
      </c>
      <c r="B9" s="10">
        <v>1.4999999999999999E-2</v>
      </c>
      <c r="J9" s="29">
        <v>55</v>
      </c>
      <c r="K9" s="27">
        <v>186192.52994232162</v>
      </c>
      <c r="L9" s="27">
        <v>173006.05474031408</v>
      </c>
      <c r="M9" s="27">
        <v>164772.86105373121</v>
      </c>
      <c r="N9" s="27">
        <v>156959.71846534661</v>
      </c>
      <c r="O9" s="27">
        <v>149545.2956261482</v>
      </c>
    </row>
    <row r="10" spans="1:15" x14ac:dyDescent="0.45">
      <c r="A10" s="9" t="s">
        <v>15</v>
      </c>
      <c r="B10" s="10">
        <v>0.06</v>
      </c>
    </row>
    <row r="11" spans="1:15" x14ac:dyDescent="0.45">
      <c r="A11" s="9" t="s">
        <v>6</v>
      </c>
      <c r="B11" s="10">
        <v>7.0000000000000007E-2</v>
      </c>
    </row>
    <row r="12" spans="1:15" x14ac:dyDescent="0.45">
      <c r="A12" s="9" t="s">
        <v>3</v>
      </c>
      <c r="B12" s="8" t="s">
        <v>32</v>
      </c>
    </row>
    <row r="13" spans="1:15" x14ac:dyDescent="0.45">
      <c r="A13" s="12" t="s">
        <v>17</v>
      </c>
      <c r="B13" s="13">
        <f>PV((保證部位報酬率-通貨膨脹率)/(1+通貨膨脹率),100-退休年齡,-退休時保證年金,0,1)</f>
        <v>5599637.8604777697</v>
      </c>
    </row>
    <row r="14" spans="1:15" x14ac:dyDescent="0.45">
      <c r="A14" s="12" t="s">
        <v>11</v>
      </c>
      <c r="B14" s="13">
        <f>PV((變動部位報酬率-通貨膨脹率)/(1+通貨膨脹率),100-退休年齡,-退休時變動年金,0,1)</f>
        <v>8370771.5546898777</v>
      </c>
    </row>
    <row r="15" spans="1:15" x14ac:dyDescent="0.45">
      <c r="A15" s="14" t="s">
        <v>18</v>
      </c>
      <c r="B15" s="15">
        <f>保證退休準備金+變動退休準備金</f>
        <v>13970409.415167648</v>
      </c>
    </row>
    <row r="17" spans="1:12" ht="18.45" x14ac:dyDescent="0.45">
      <c r="A17" s="16" t="s">
        <v>22</v>
      </c>
      <c r="B17" s="2"/>
    </row>
    <row r="18" spans="1:12" x14ac:dyDescent="0.45">
      <c r="A18" s="9" t="s">
        <v>24</v>
      </c>
      <c r="B18" s="11">
        <v>0</v>
      </c>
    </row>
    <row r="19" spans="1:12" x14ac:dyDescent="0.45">
      <c r="A19" s="9" t="s">
        <v>26</v>
      </c>
      <c r="B19" s="17">
        <v>0.08</v>
      </c>
    </row>
    <row r="20" spans="1:12" ht="15.9" x14ac:dyDescent="0.45">
      <c r="A20" s="18" t="s">
        <v>25</v>
      </c>
      <c r="B20" s="19">
        <f>-PMT(NOMINAL(退休前報酬率,12)/12,(退休年齡-目前年齡)*12,-現有退休準備金,退休準備合計)</f>
        <v>15369.140128074872</v>
      </c>
    </row>
    <row r="23" spans="1:12" ht="15.9" x14ac:dyDescent="0.45">
      <c r="A23" s="21" t="s">
        <v>31</v>
      </c>
    </row>
    <row r="24" spans="1:12" x14ac:dyDescent="0.45">
      <c r="A24" s="3" t="s">
        <v>2</v>
      </c>
      <c r="B24" s="3" t="s">
        <v>1</v>
      </c>
      <c r="C24" s="3" t="s">
        <v>5</v>
      </c>
      <c r="D24" s="3" t="s">
        <v>10</v>
      </c>
      <c r="E24" s="3" t="s">
        <v>7</v>
      </c>
      <c r="F24" s="3" t="s">
        <v>12</v>
      </c>
      <c r="G24" s="3" t="s">
        <v>19</v>
      </c>
      <c r="H24" s="3" t="s">
        <v>14</v>
      </c>
      <c r="I24" s="3" t="s">
        <v>13</v>
      </c>
      <c r="J24" s="3" t="s">
        <v>8</v>
      </c>
      <c r="K24" s="3" t="s">
        <v>9</v>
      </c>
      <c r="L24" s="3" t="s">
        <v>0</v>
      </c>
    </row>
    <row r="25" spans="1:12" x14ac:dyDescent="0.45">
      <c r="A25" s="3">
        <f>退休年齡</f>
        <v>60</v>
      </c>
      <c r="B25" s="5">
        <f>明細表[[#This Row],[年齡]]-$A$25</f>
        <v>0</v>
      </c>
      <c r="C25" s="4">
        <f>退休時保證年金</f>
        <v>153891.83940206812</v>
      </c>
      <c r="D25" s="4"/>
      <c r="E25" s="4">
        <f>保證退休準備金</f>
        <v>5599637.8604777697</v>
      </c>
      <c r="F25" s="4">
        <f>退休時變動年金*(1+通貨膨脹率)^明細表[[#This Row],[年數]]</f>
        <v>461675.51820620435</v>
      </c>
      <c r="G25" s="4">
        <f>退休時變動年金</f>
        <v>461675.51820620435</v>
      </c>
      <c r="H25" s="6"/>
      <c r="I25" s="6"/>
      <c r="J25" s="4"/>
      <c r="K25" s="4">
        <f>變動退休準備金</f>
        <v>8370771.5546898777</v>
      </c>
      <c r="L25" s="4">
        <f>明細表[[#This Row],[保證準備金結餘]]+明細表[[#This Row],[變動準備金節餘]]</f>
        <v>13970409.415167648</v>
      </c>
    </row>
    <row r="26" spans="1:12" x14ac:dyDescent="0.45">
      <c r="A26" s="3">
        <f t="shared" ref="A26:A75" si="0">A25+1</f>
        <v>61</v>
      </c>
      <c r="B26" s="3">
        <f>明細表[[#This Row],[年齡]]-$A$25</f>
        <v>1</v>
      </c>
      <c r="C26" s="4">
        <f>C25*(1+通貨膨脹率)</f>
        <v>155430.75779608879</v>
      </c>
      <c r="D26" s="4">
        <f t="shared" ref="D26:D64" si="1">(E25-C25)*保證部位報酬率</f>
        <v>81686.190316135515</v>
      </c>
      <c r="E26" s="4">
        <f>E25+明細表[[#This Row],[保證部位利息]]-C25</f>
        <v>5527432.2113918364</v>
      </c>
      <c r="F26" s="4">
        <f>退休時變動年金*(1+通貨膨脹率)^明細表[[#This Row],[年數]]</f>
        <v>466292.27338826639</v>
      </c>
      <c r="G26" s="4">
        <f ca="1">G25*(1+通貨膨脹率)*(1+明細表[[#This Row],[報酬率]])/(1+變動部位報酬率)</f>
        <v>466292.27338826639</v>
      </c>
      <c r="H26" s="6"/>
      <c r="I26" s="6">
        <f ca="1">IF(試算模式="規劃",變動部位報酬率,IF(試算模式="模擬", _xlfn.NORM.INV(RAND(),變動部位報酬率,變動部位標準差),明細表[[#This Row],[實際報酬率]]))</f>
        <v>0.06</v>
      </c>
      <c r="J26" s="2">
        <f ca="1">(K25-G25)*明細表[[#This Row],[報酬率]]</f>
        <v>474545.7621890204</v>
      </c>
      <c r="K26" s="4">
        <f ca="1">K25+明細表[[#This Row],[變動部位獲利]]-G25</f>
        <v>8383641.7986726938</v>
      </c>
      <c r="L26" s="4">
        <f ca="1">明細表[[#This Row],[保證準備金結餘]]+明細表[[#This Row],[變動準備金節餘]]</f>
        <v>13911074.010064531</v>
      </c>
    </row>
    <row r="27" spans="1:12" x14ac:dyDescent="0.45">
      <c r="A27" s="3">
        <f t="shared" si="0"/>
        <v>62</v>
      </c>
      <c r="B27" s="3">
        <f>明細表[[#This Row],[年齡]]-$A$25</f>
        <v>2</v>
      </c>
      <c r="C27" s="4">
        <f>C26*(1+通貨膨脹率)</f>
        <v>156985.06537404968</v>
      </c>
      <c r="D27" s="4">
        <f t="shared" si="1"/>
        <v>80580.021803936208</v>
      </c>
      <c r="E27" s="4">
        <f>E26+明細表[[#This Row],[保證部位利息]]-C26</f>
        <v>5452581.4753996832</v>
      </c>
      <c r="F27" s="4">
        <f>退休時變動年金*(1+通貨膨脹率)^明細表[[#This Row],[年數]]</f>
        <v>470955.19612214906</v>
      </c>
      <c r="G27" s="4">
        <f ca="1">G26*(1+通貨膨脹率)*(1+明細表[[#This Row],[報酬率]])/(1+變動部位報酬率)</f>
        <v>470955.19612214906</v>
      </c>
      <c r="H27" s="6"/>
      <c r="I27" s="6">
        <f ca="1">IF(試算模式="規劃",變動部位報酬率,IF(試算模式="模擬", _xlfn.NORM.INV(RAND(),變動部位報酬率,變動部位標準差),明細表[[#This Row],[實際報酬率]]))</f>
        <v>0.06</v>
      </c>
      <c r="J27" s="2">
        <f ca="1">(K26-G26)*明細表[[#This Row],[報酬率]]</f>
        <v>475040.9715170656</v>
      </c>
      <c r="K27" s="4">
        <f ca="1">K26+明細表[[#This Row],[變動部位獲利]]-G26</f>
        <v>8392390.4968014937</v>
      </c>
      <c r="L27" s="4">
        <f ca="1">明細表[[#This Row],[保證準備金結餘]]+明細表[[#This Row],[變動準備金節餘]]</f>
        <v>13844971.972201176</v>
      </c>
    </row>
    <row r="28" spans="1:12" x14ac:dyDescent="0.45">
      <c r="A28" s="3">
        <f t="shared" si="0"/>
        <v>63</v>
      </c>
      <c r="B28" s="3">
        <f>明細表[[#This Row],[年齡]]-$A$25</f>
        <v>3</v>
      </c>
      <c r="C28" s="4">
        <f>C27*(1+通貨膨脹率)</f>
        <v>158554.91602779017</v>
      </c>
      <c r="D28" s="4">
        <f t="shared" si="1"/>
        <v>79433.946150384509</v>
      </c>
      <c r="E28" s="4">
        <f>E27+明細表[[#This Row],[保證部位利息]]-C27</f>
        <v>5375030.3561760187</v>
      </c>
      <c r="F28" s="4">
        <f>退休時變動年金*(1+通貨膨脹率)^明細表[[#This Row],[年數]]</f>
        <v>475664.7480833705</v>
      </c>
      <c r="G28" s="4">
        <f ca="1">G27*(1+通貨膨脹率)*(1+明細表[[#This Row],[報酬率]])/(1+變動部位報酬率)</f>
        <v>475664.74808337056</v>
      </c>
      <c r="H28" s="6"/>
      <c r="I28" s="6">
        <f ca="1">IF(試算模式="規劃",變動部位報酬率,IF(試算模式="模擬", _xlfn.NORM.INV(RAND(),變動部位報酬率,變動部位標準差),明細表[[#This Row],[實際報酬率]]))</f>
        <v>0.06</v>
      </c>
      <c r="J28" s="2">
        <f ca="1">(K27-G27)*明細表[[#This Row],[報酬率]]</f>
        <v>475286.11804076069</v>
      </c>
      <c r="K28" s="4">
        <f ca="1">K27+明細表[[#This Row],[變動部位獲利]]-G27</f>
        <v>8396721.4187201057</v>
      </c>
      <c r="L28" s="4">
        <f ca="1">明細表[[#This Row],[保證準備金結餘]]+明細表[[#This Row],[變動準備金節餘]]</f>
        <v>13771751.774896124</v>
      </c>
    </row>
    <row r="29" spans="1:12" x14ac:dyDescent="0.45">
      <c r="A29" s="3">
        <f t="shared" si="0"/>
        <v>64</v>
      </c>
      <c r="B29" s="3">
        <f>明細表[[#This Row],[年齡]]-$A$25</f>
        <v>4</v>
      </c>
      <c r="C29" s="4">
        <f>C28*(1+通貨膨脹率)</f>
        <v>160140.46518806808</v>
      </c>
      <c r="D29" s="4">
        <f t="shared" si="1"/>
        <v>78247.131602223424</v>
      </c>
      <c r="E29" s="4">
        <f>E28+明細表[[#This Row],[保證部位利息]]-C28</f>
        <v>5294722.5717504518</v>
      </c>
      <c r="F29" s="4">
        <f>退休時變動年金*(1+通貨膨脹率)^明細表[[#This Row],[年數]]</f>
        <v>480421.39556420426</v>
      </c>
      <c r="G29" s="4">
        <f ca="1">G28*(1+通貨膨脹率)*(1+明細表[[#This Row],[報酬率]])/(1+變動部位報酬率)</f>
        <v>480421.39556420426</v>
      </c>
      <c r="H29" s="6"/>
      <c r="I29" s="6">
        <f ca="1">IF(試算模式="規劃",變動部位報酬率,IF(試算模式="模擬", _xlfn.NORM.INV(RAND(),變動部位報酬率,變動部位標準差),明細表[[#This Row],[實際報酬率]]))</f>
        <v>0.06</v>
      </c>
      <c r="J29" s="2">
        <f ca="1">(K28-G28)*明細表[[#This Row],[報酬率]]</f>
        <v>475263.40023820405</v>
      </c>
      <c r="K29" s="4">
        <f ca="1">K28+明細表[[#This Row],[變動部位獲利]]-G28</f>
        <v>8396320.0708749406</v>
      </c>
      <c r="L29" s="4">
        <f ca="1">明細表[[#This Row],[保證準備金結餘]]+明細表[[#This Row],[變動準備金節餘]]</f>
        <v>13691042.642625391</v>
      </c>
    </row>
    <row r="30" spans="1:12" x14ac:dyDescent="0.45">
      <c r="A30" s="3">
        <f t="shared" si="0"/>
        <v>65</v>
      </c>
      <c r="B30" s="3">
        <f>明細表[[#This Row],[年齡]]-$A$25</f>
        <v>5</v>
      </c>
      <c r="C30" s="4">
        <f>C29*(1+通貨膨脹率)</f>
        <v>161741.86983994875</v>
      </c>
      <c r="D30" s="4">
        <f t="shared" si="1"/>
        <v>77018.731598435756</v>
      </c>
      <c r="E30" s="4">
        <f>E29+明細表[[#This Row],[保證部位利息]]-C29</f>
        <v>5211600.8381608194</v>
      </c>
      <c r="F30" s="4">
        <f>退休時變動年金*(1+通貨膨脹率)^明細表[[#This Row],[年數]]</f>
        <v>485225.60951984627</v>
      </c>
      <c r="G30" s="4">
        <f ca="1">G29*(1+通貨膨脹率)*(1+明細表[[#This Row],[報酬率]])/(1+變動部位報酬率)</f>
        <v>485225.60951984633</v>
      </c>
      <c r="H30" s="6"/>
      <c r="I30" s="6">
        <f ca="1">IF(試算模式="規劃",變動部位報酬率,IF(試算模式="模擬", _xlfn.NORM.INV(RAND(),變動部位報酬率,變動部位標準差),明細表[[#This Row],[實際報酬率]]))</f>
        <v>0.06</v>
      </c>
      <c r="J30" s="2">
        <f ca="1">(K29-G29)*明細表[[#This Row],[報酬率]]</f>
        <v>474953.92051864415</v>
      </c>
      <c r="K30" s="4">
        <f ca="1">K29+明細表[[#This Row],[變動部位獲利]]-G29</f>
        <v>8390852.5958293807</v>
      </c>
      <c r="L30" s="4">
        <f ca="1">明細表[[#This Row],[保證準備金結餘]]+明細表[[#This Row],[變動準備金節餘]]</f>
        <v>13602453.433990199</v>
      </c>
    </row>
    <row r="31" spans="1:12" x14ac:dyDescent="0.45">
      <c r="A31" s="3">
        <f t="shared" si="0"/>
        <v>66</v>
      </c>
      <c r="B31" s="3">
        <f>明細表[[#This Row],[年齡]]-$A$25</f>
        <v>6</v>
      </c>
      <c r="C31" s="4">
        <f>C30*(1+通貨膨脹率)</f>
        <v>163359.28853834825</v>
      </c>
      <c r="D31" s="4">
        <f t="shared" si="1"/>
        <v>75747.884524813053</v>
      </c>
      <c r="E31" s="4">
        <f>E30+明細表[[#This Row],[保證部位利息]]-C30</f>
        <v>5125606.8528456837</v>
      </c>
      <c r="F31" s="4">
        <f>退休時變動年金*(1+通貨膨脹率)^明細表[[#This Row],[年數]]</f>
        <v>490077.86561504484</v>
      </c>
      <c r="G31" s="4">
        <f ca="1">G30*(1+通貨膨脹率)*(1+明細表[[#This Row],[報酬率]])/(1+變動部位報酬率)</f>
        <v>490077.86561504478</v>
      </c>
      <c r="H31" s="6"/>
      <c r="I31" s="6">
        <f ca="1">IF(試算模式="規劃",變動部位報酬率,IF(試算模式="模擬", _xlfn.NORM.INV(RAND(),變動部位報酬率,變動部位標準差),明細表[[#This Row],[實際報酬率]]))</f>
        <v>0.06</v>
      </c>
      <c r="J31" s="2">
        <f ca="1">(K30-G30)*明細表[[#This Row],[報酬率]]</f>
        <v>474337.61917857203</v>
      </c>
      <c r="K31" s="4">
        <f ca="1">K30+明細表[[#This Row],[變動部位獲利]]-G30</f>
        <v>8379964.6054881066</v>
      </c>
      <c r="L31" s="4">
        <f ca="1">明細表[[#This Row],[保證準備金結餘]]+明細表[[#This Row],[變動準備金節餘]]</f>
        <v>13505571.45833379</v>
      </c>
    </row>
    <row r="32" spans="1:12" x14ac:dyDescent="0.45">
      <c r="A32" s="3">
        <f t="shared" si="0"/>
        <v>67</v>
      </c>
      <c r="B32" s="3">
        <f>明細表[[#This Row],[年齡]]-$A$25</f>
        <v>7</v>
      </c>
      <c r="C32" s="4">
        <f>C31*(1+通貨膨脹率)</f>
        <v>164992.88142373174</v>
      </c>
      <c r="D32" s="4">
        <f t="shared" si="1"/>
        <v>74433.713464610031</v>
      </c>
      <c r="E32" s="4">
        <f>E31+明細表[[#This Row],[保證部位利息]]-C31</f>
        <v>5036681.277771946</v>
      </c>
      <c r="F32" s="4">
        <f>退休時變動年金*(1+通貨膨脹率)^明細表[[#This Row],[年數]]</f>
        <v>494978.64427119511</v>
      </c>
      <c r="G32" s="4">
        <f ca="1">G31*(1+通貨膨脹率)*(1+明細表[[#This Row],[報酬率]])/(1+變動部位報酬率)</f>
        <v>494978.64427119523</v>
      </c>
      <c r="H32" s="6"/>
      <c r="I32" s="6">
        <f ca="1">IF(試算模式="規劃",變動部位報酬率,IF(試算模式="模擬", _xlfn.NORM.INV(RAND(),變動部位報酬率,變動部位標準差),明細表[[#This Row],[實際報酬率]]))</f>
        <v>0.06</v>
      </c>
      <c r="J32" s="2">
        <f ca="1">(K31-G31)*明細表[[#This Row],[報酬率]]</f>
        <v>473393.20439238369</v>
      </c>
      <c r="K32" s="4">
        <f ca="1">K31+明細表[[#This Row],[變動部位獲利]]-G31</f>
        <v>8363279.9442654448</v>
      </c>
      <c r="L32" s="4">
        <f ca="1">明細表[[#This Row],[保證準備金結餘]]+明細表[[#This Row],[變動準備金節餘]]</f>
        <v>13399961.22203739</v>
      </c>
    </row>
    <row r="33" spans="1:12" x14ac:dyDescent="0.45">
      <c r="A33" s="3">
        <f t="shared" si="0"/>
        <v>68</v>
      </c>
      <c r="B33" s="3">
        <f>明細表[[#This Row],[年齡]]-$A$25</f>
        <v>8</v>
      </c>
      <c r="C33" s="4">
        <f>C32*(1+通貨膨脹率)</f>
        <v>166642.81023796907</v>
      </c>
      <c r="D33" s="4">
        <f t="shared" si="1"/>
        <v>73075.325945223216</v>
      </c>
      <c r="E33" s="4">
        <f>E32+明細表[[#This Row],[保證部位利息]]-C32</f>
        <v>4944763.7222934375</v>
      </c>
      <c r="F33" s="4">
        <f>退休時變動年金*(1+通貨膨脹率)^明細表[[#This Row],[年數]]</f>
        <v>499928.43071390723</v>
      </c>
      <c r="G33" s="4">
        <f ca="1">G32*(1+通貨膨脹率)*(1+明細表[[#This Row],[報酬率]])/(1+變動部位報酬率)</f>
        <v>499928.43071390723</v>
      </c>
      <c r="H33" s="6"/>
      <c r="I33" s="6">
        <f ca="1">IF(試算模式="規劃",變動部位報酬率,IF(試算模式="模擬", _xlfn.NORM.INV(RAND(),變動部位報酬率,變動部位標準差),明細表[[#This Row],[實際報酬率]]))</f>
        <v>0.06</v>
      </c>
      <c r="J33" s="2">
        <f ca="1">(K32-G32)*明細表[[#This Row],[報酬率]]</f>
        <v>472098.07799965498</v>
      </c>
      <c r="K33" s="4">
        <f ca="1">K32+明細表[[#This Row],[變動部位獲利]]-G32</f>
        <v>8340399.3779939041</v>
      </c>
      <c r="L33" s="4">
        <f ca="1">明細表[[#This Row],[保證準備金結餘]]+明細表[[#This Row],[變動準備金節餘]]</f>
        <v>13285163.100287341</v>
      </c>
    </row>
    <row r="34" spans="1:12" x14ac:dyDescent="0.45">
      <c r="A34" s="3">
        <f t="shared" si="0"/>
        <v>69</v>
      </c>
      <c r="B34" s="3">
        <f>明細表[[#This Row],[年齡]]-$A$25</f>
        <v>9</v>
      </c>
      <c r="C34" s="4">
        <f>C33*(1+通貨膨脹率)</f>
        <v>168309.23834034876</v>
      </c>
      <c r="D34" s="4">
        <f t="shared" si="1"/>
        <v>71671.813680832027</v>
      </c>
      <c r="E34" s="4">
        <f>E33+明細表[[#This Row],[保證部位利息]]-C33</f>
        <v>4849792.7257363005</v>
      </c>
      <c r="F34" s="4">
        <f>退休時變動年金*(1+通貨膨脹率)^明細表[[#This Row],[年數]]</f>
        <v>504927.71502104634</v>
      </c>
      <c r="G34" s="4">
        <f ca="1">G33*(1+通貨膨脹率)*(1+明細表[[#This Row],[報酬率]])/(1+變動部位報酬率)</f>
        <v>504927.71502104629</v>
      </c>
      <c r="H34" s="6"/>
      <c r="I34" s="6">
        <f ca="1">IF(試算模式="規劃",變動部位報酬率,IF(試算模式="模擬", _xlfn.NORM.INV(RAND(),變動部位報酬率,變動部位標準差),明細表[[#This Row],[實際報酬率]]))</f>
        <v>0.06</v>
      </c>
      <c r="J34" s="2">
        <f ca="1">(K33-G33)*明細表[[#This Row],[報酬率]]</f>
        <v>470428.25683679979</v>
      </c>
      <c r="K34" s="4">
        <f ca="1">K33+明細表[[#This Row],[變動部位獲利]]-G33</f>
        <v>8310899.2041167971</v>
      </c>
      <c r="L34" s="4">
        <f ca="1">明細表[[#This Row],[保證準備金結餘]]+明細表[[#This Row],[變動準備金節餘]]</f>
        <v>13160691.929853097</v>
      </c>
    </row>
    <row r="35" spans="1:12" x14ac:dyDescent="0.45">
      <c r="A35" s="3">
        <f t="shared" si="0"/>
        <v>70</v>
      </c>
      <c r="B35" s="3">
        <f>明細表[[#This Row],[年齡]]-$A$25</f>
        <v>10</v>
      </c>
      <c r="C35" s="4">
        <f>C34*(1+通貨膨脹率)</f>
        <v>169992.33072375224</v>
      </c>
      <c r="D35" s="4">
        <f t="shared" si="1"/>
        <v>70222.252310939264</v>
      </c>
      <c r="E35" s="4">
        <f>E34+明細表[[#This Row],[保證部位利息]]-C34</f>
        <v>4751705.7397068907</v>
      </c>
      <c r="F35" s="4">
        <f>退休時變動年金*(1+通貨膨脹率)^明細表[[#This Row],[年數]]</f>
        <v>509976.9921712568</v>
      </c>
      <c r="G35" s="4">
        <f ca="1">G34*(1+通貨膨脹率)*(1+明細表[[#This Row],[報酬率]])/(1+變動部位報酬率)</f>
        <v>509976.99217125674</v>
      </c>
      <c r="H35" s="6"/>
      <c r="I35" s="6">
        <f ca="1">IF(試算模式="規劃",變動部位報酬率,IF(試算模式="模擬", _xlfn.NORM.INV(RAND(),變動部位報酬率,變動部位標準差),明細表[[#This Row],[實際報酬率]]))</f>
        <v>0.06</v>
      </c>
      <c r="J35" s="2">
        <f ca="1">(K34-G34)*明細表[[#This Row],[報酬率]]</f>
        <v>468358.28934574506</v>
      </c>
      <c r="K35" s="4">
        <f ca="1">K34+明細表[[#This Row],[變動部位獲利]]-G34</f>
        <v>8274329.7784414962</v>
      </c>
      <c r="L35" s="4">
        <f ca="1">明細表[[#This Row],[保證準備金結餘]]+明細表[[#This Row],[變動準備金節餘]]</f>
        <v>13026035.518148387</v>
      </c>
    </row>
    <row r="36" spans="1:12" x14ac:dyDescent="0.45">
      <c r="A36" s="3">
        <f t="shared" si="0"/>
        <v>71</v>
      </c>
      <c r="B36" s="3">
        <f>明細表[[#This Row],[年齡]]-$A$25</f>
        <v>11</v>
      </c>
      <c r="C36" s="4">
        <f>C35*(1+通貨膨脹率)</f>
        <v>171692.25403098977</v>
      </c>
      <c r="D36" s="4">
        <f t="shared" si="1"/>
        <v>68725.701134747069</v>
      </c>
      <c r="E36" s="4">
        <f>E35+明細表[[#This Row],[保證部位利息]]-C35</f>
        <v>4650439.1101178853</v>
      </c>
      <c r="F36" s="4">
        <f>退休時變動年金*(1+通貨膨脹率)^明細表[[#This Row],[年數]]</f>
        <v>515076.76209296926</v>
      </c>
      <c r="G36" s="4">
        <f ca="1">G35*(1+通貨膨脹率)*(1+明細表[[#This Row],[報酬率]])/(1+變動部位報酬率)</f>
        <v>515076.76209296932</v>
      </c>
      <c r="H36" s="6"/>
      <c r="I36" s="6">
        <f ca="1">IF(試算模式="規劃",變動部位報酬率,IF(試算模式="模擬", _xlfn.NORM.INV(RAND(),變動部位報酬率,變動部位標準差),明細表[[#This Row],[實際報酬率]]))</f>
        <v>0.06</v>
      </c>
      <c r="J36" s="2">
        <f ca="1">(K35-G35)*明細表[[#This Row],[報酬率]]</f>
        <v>465861.16717621434</v>
      </c>
      <c r="K36" s="4">
        <f ca="1">K35+明細表[[#This Row],[變動部位獲利]]-G35</f>
        <v>8230213.9534464544</v>
      </c>
      <c r="L36" s="4">
        <f ca="1">明細表[[#This Row],[保證準備金結餘]]+明細表[[#This Row],[變動準備金節餘]]</f>
        <v>12880653.06356434</v>
      </c>
    </row>
    <row r="37" spans="1:12" x14ac:dyDescent="0.45">
      <c r="A37" s="3">
        <f t="shared" si="0"/>
        <v>72</v>
      </c>
      <c r="B37" s="3">
        <f>明細表[[#This Row],[年齡]]-$A$25</f>
        <v>12</v>
      </c>
      <c r="C37" s="4">
        <f>C36*(1+通貨膨脹率)</f>
        <v>173409.17657129967</v>
      </c>
      <c r="D37" s="4">
        <f t="shared" si="1"/>
        <v>67181.202841303428</v>
      </c>
      <c r="E37" s="4">
        <f>E36+明細表[[#This Row],[保證部位利息]]-C36</f>
        <v>4545928.0589281991</v>
      </c>
      <c r="F37" s="4">
        <f>退休時變動年金*(1+通貨膨脹率)^明細表[[#This Row],[年數]]</f>
        <v>520227.52971389896</v>
      </c>
      <c r="G37" s="4">
        <f ca="1">G36*(1+通貨膨脹率)*(1+明細表[[#This Row],[報酬率]])/(1+變動部位報酬率)</f>
        <v>520227.52971389901</v>
      </c>
      <c r="H37" s="6"/>
      <c r="I37" s="6">
        <f ca="1">IF(試算模式="規劃",變動部位報酬率,IF(試算模式="模擬", _xlfn.NORM.INV(RAND(),變動部位報酬率,變動部位標準差),明細表[[#This Row],[實際報酬率]]))</f>
        <v>0.06</v>
      </c>
      <c r="J37" s="2">
        <f ca="1">(K36-G36)*明細表[[#This Row],[報酬率]]</f>
        <v>462908.23148120911</v>
      </c>
      <c r="K37" s="4">
        <f ca="1">K36+明細表[[#This Row],[變動部位獲利]]-G36</f>
        <v>8178045.4228346935</v>
      </c>
      <c r="L37" s="4">
        <f ca="1">明細表[[#This Row],[保證準備金結餘]]+明細表[[#This Row],[變動準備金節餘]]</f>
        <v>12723973.481762893</v>
      </c>
    </row>
    <row r="38" spans="1:12" x14ac:dyDescent="0.45">
      <c r="A38" s="3">
        <f t="shared" si="0"/>
        <v>73</v>
      </c>
      <c r="B38" s="3">
        <f>明細表[[#This Row],[年齡]]-$A$25</f>
        <v>13</v>
      </c>
      <c r="C38" s="4">
        <f>C37*(1+通貨膨脹率)</f>
        <v>175143.26833701268</v>
      </c>
      <c r="D38" s="4">
        <f t="shared" si="1"/>
        <v>65587.78323535349</v>
      </c>
      <c r="E38" s="4">
        <f>E37+明細表[[#This Row],[保證部位利息]]-C37</f>
        <v>4438106.6655922532</v>
      </c>
      <c r="F38" s="4">
        <f>退休時變動年金*(1+通貨膨脹率)^明細表[[#This Row],[年數]]</f>
        <v>525429.80501103797</v>
      </c>
      <c r="G38" s="4">
        <f ca="1">G37*(1+通貨膨脹率)*(1+明細表[[#This Row],[報酬率]])/(1+變動部位報酬率)</f>
        <v>525429.80501103797</v>
      </c>
      <c r="H38" s="6"/>
      <c r="I38" s="6">
        <f ca="1">IF(試算模式="規劃",變動部位報酬率,IF(試算模式="模擬", _xlfn.NORM.INV(RAND(),變動部位報酬率,變動部位標準差),明細表[[#This Row],[實際報酬率]]))</f>
        <v>0.06</v>
      </c>
      <c r="J38" s="2">
        <f ca="1">(K37-G37)*明細表[[#This Row],[報酬率]]</f>
        <v>459469.07358724764</v>
      </c>
      <c r="K38" s="4">
        <f ca="1">K37+明細表[[#This Row],[變動部位獲利]]-G37</f>
        <v>8117286.9667080417</v>
      </c>
      <c r="L38" s="4">
        <f ca="1">明細表[[#This Row],[保證準備金結餘]]+明細表[[#This Row],[變動準備金節餘]]</f>
        <v>12555393.632300295</v>
      </c>
    </row>
    <row r="39" spans="1:12" x14ac:dyDescent="0.45">
      <c r="A39" s="3">
        <f t="shared" si="0"/>
        <v>74</v>
      </c>
      <c r="B39" s="3">
        <f>明細表[[#This Row],[年齡]]-$A$25</f>
        <v>14</v>
      </c>
      <c r="C39" s="4">
        <f>C38*(1+通貨膨脹率)</f>
        <v>176894.70102038281</v>
      </c>
      <c r="D39" s="4">
        <f t="shared" si="1"/>
        <v>63944.450958828609</v>
      </c>
      <c r="E39" s="4">
        <f>E38+明細表[[#This Row],[保證部位利息]]-C38</f>
        <v>4326907.8482140694</v>
      </c>
      <c r="F39" s="4">
        <f>退休時變動年金*(1+通貨膨脹率)^明細表[[#This Row],[年數]]</f>
        <v>530684.10306114843</v>
      </c>
      <c r="G39" s="4">
        <f ca="1">G38*(1+通貨膨脹率)*(1+明細表[[#This Row],[報酬率]])/(1+變動部位報酬率)</f>
        <v>530684.10306114831</v>
      </c>
      <c r="H39" s="6"/>
      <c r="I39" s="6">
        <f ca="1">IF(試算模式="規劃",變動部位報酬率,IF(試算模式="模擬", _xlfn.NORM.INV(RAND(),變動部位報酬率,變動部位標準差),明細表[[#This Row],[實際報酬率]]))</f>
        <v>0.06</v>
      </c>
      <c r="J39" s="2">
        <f ca="1">(K38-G38)*明細表[[#This Row],[報酬率]]</f>
        <v>455511.42970182025</v>
      </c>
      <c r="K39" s="4">
        <f ca="1">K38+明細表[[#This Row],[變動部位獲利]]-G38</f>
        <v>8047368.591398824</v>
      </c>
      <c r="L39" s="4">
        <f ca="1">明細表[[#This Row],[保證準備金結餘]]+明細表[[#This Row],[變動準備金節餘]]</f>
        <v>12374276.439612893</v>
      </c>
    </row>
    <row r="40" spans="1:12" x14ac:dyDescent="0.45">
      <c r="A40" s="3">
        <f t="shared" si="0"/>
        <v>75</v>
      </c>
      <c r="B40" s="3">
        <f>明細表[[#This Row],[年齡]]-$A$25</f>
        <v>15</v>
      </c>
      <c r="C40" s="4">
        <f>C39*(1+通貨膨脹率)</f>
        <v>178663.64803058663</v>
      </c>
      <c r="D40" s="4">
        <f t="shared" si="1"/>
        <v>62250.197207905294</v>
      </c>
      <c r="E40" s="4">
        <f>E39+明細表[[#This Row],[保證部位利息]]-C39</f>
        <v>4212263.3444015924</v>
      </c>
      <c r="F40" s="4">
        <f>退休時變動年金*(1+通貨膨脹率)^明細表[[#This Row],[年數]]</f>
        <v>535990.94409175974</v>
      </c>
      <c r="G40" s="4">
        <f ca="1">G39*(1+通貨膨脹率)*(1+明細表[[#This Row],[報酬率]])/(1+變動部位報酬率)</f>
        <v>535990.94409175985</v>
      </c>
      <c r="H40" s="6"/>
      <c r="I40" s="6">
        <f ca="1">IF(試算模式="規劃",變動部位報酬率,IF(試算模式="模擬", _xlfn.NORM.INV(RAND(),變動部位報酬率,變動部位標準差),明細表[[#This Row],[實際報酬率]]))</f>
        <v>0.06</v>
      </c>
      <c r="J40" s="2">
        <f ca="1">(K39-G39)*明細表[[#This Row],[報酬率]]</f>
        <v>451001.06930026057</v>
      </c>
      <c r="K40" s="4">
        <f ca="1">K39+明細表[[#This Row],[變動部位獲利]]-G39</f>
        <v>7967685.5576379364</v>
      </c>
      <c r="L40" s="4">
        <f ca="1">明細表[[#This Row],[保證準備金結餘]]+明細表[[#This Row],[變動準備金節餘]]</f>
        <v>12179948.902039528</v>
      </c>
    </row>
    <row r="41" spans="1:12" x14ac:dyDescent="0.45">
      <c r="A41" s="3">
        <f t="shared" si="0"/>
        <v>76</v>
      </c>
      <c r="B41" s="3">
        <f>明細表[[#This Row],[年齡]]-$A$25</f>
        <v>16</v>
      </c>
      <c r="C41" s="4">
        <f>C40*(1+通貨膨脹率)</f>
        <v>180450.2845108925</v>
      </c>
      <c r="D41" s="4">
        <f t="shared" si="1"/>
        <v>60503.995445565088</v>
      </c>
      <c r="E41" s="4">
        <f>E40+明細表[[#This Row],[保證部位利息]]-C40</f>
        <v>4094103.6918165712</v>
      </c>
      <c r="F41" s="4">
        <f>退休時變動年金*(1+通貨膨脹率)^明細表[[#This Row],[年數]]</f>
        <v>541350.85353267752</v>
      </c>
      <c r="G41" s="4">
        <f ca="1">G40*(1+通貨膨脹率)*(1+明細表[[#This Row],[報酬率]])/(1+變動部位報酬率)</f>
        <v>541350.85353267752</v>
      </c>
      <c r="H41" s="6"/>
      <c r="I41" s="6">
        <f ca="1">IF(試算模式="規劃",變動部位報酬率,IF(試算模式="模擬", _xlfn.NORM.INV(RAND(),變動部位報酬率,變動部位標準差),明細表[[#This Row],[實際報酬率]]))</f>
        <v>0.06</v>
      </c>
      <c r="J41" s="2">
        <f ca="1">(K40-G40)*明細表[[#This Row],[報酬率]]</f>
        <v>445901.6768127706</v>
      </c>
      <c r="K41" s="4">
        <f ca="1">K40+明細表[[#This Row],[變動部位獲利]]-G40</f>
        <v>7877596.2903589476</v>
      </c>
      <c r="L41" s="4">
        <f ca="1">明細表[[#This Row],[保證準備金結餘]]+明細表[[#This Row],[變動準備金節餘]]</f>
        <v>11971699.982175518</v>
      </c>
    </row>
    <row r="42" spans="1:12" x14ac:dyDescent="0.45">
      <c r="A42" s="3">
        <f t="shared" si="0"/>
        <v>77</v>
      </c>
      <c r="B42" s="3">
        <f>明細表[[#This Row],[年齡]]-$A$25</f>
        <v>17</v>
      </c>
      <c r="C42" s="4">
        <f>C41*(1+通貨膨脹率)</f>
        <v>182254.78735600141</v>
      </c>
      <c r="D42" s="4">
        <f t="shared" si="1"/>
        <v>58704.801109585183</v>
      </c>
      <c r="E42" s="4">
        <f>E41+明細表[[#This Row],[保證部位利息]]-C41</f>
        <v>3972358.2084152638</v>
      </c>
      <c r="F42" s="4">
        <f>退休時變動年金*(1+通貨膨脹率)^明細表[[#This Row],[年數]]</f>
        <v>546764.36206800432</v>
      </c>
      <c r="G42" s="4">
        <f ca="1">G41*(1+通貨膨脹率)*(1+明細表[[#This Row],[報酬率]])/(1+變動部位報酬率)</f>
        <v>546764.36206800432</v>
      </c>
      <c r="H42" s="6"/>
      <c r="I42" s="6">
        <f ca="1">IF(試算模式="規劃",變動部位報酬率,IF(試算模式="模擬", _xlfn.NORM.INV(RAND(),變動部位報酬率,變動部位標準差),明細表[[#This Row],[實際報酬率]]))</f>
        <v>0.06</v>
      </c>
      <c r="J42" s="2">
        <f ca="1">(K41-G41)*明細表[[#This Row],[報酬率]]</f>
        <v>440174.72620957618</v>
      </c>
      <c r="K42" s="4">
        <f ca="1">K41+明細表[[#This Row],[變動部位獲利]]-G41</f>
        <v>7776420.1630358463</v>
      </c>
      <c r="L42" s="4">
        <f ca="1">明細表[[#This Row],[保證準備金結餘]]+明細表[[#This Row],[變動準備金節餘]]</f>
        <v>11748778.37145111</v>
      </c>
    </row>
    <row r="43" spans="1:12" x14ac:dyDescent="0.45">
      <c r="A43" s="3">
        <f t="shared" si="0"/>
        <v>78</v>
      </c>
      <c r="B43" s="3">
        <f>明細表[[#This Row],[年齡]]-$A$25</f>
        <v>18</v>
      </c>
      <c r="C43" s="4">
        <f>C42*(1+通貨膨脹率)</f>
        <v>184077.33522956143</v>
      </c>
      <c r="D43" s="4">
        <f t="shared" si="1"/>
        <v>56851.551315888937</v>
      </c>
      <c r="E43" s="4">
        <f>E42+明細表[[#This Row],[保證部位利息]]-C42</f>
        <v>3846954.9723751512</v>
      </c>
      <c r="F43" s="4">
        <f>退休時變動年金*(1+通貨膨脹率)^明細表[[#This Row],[年數]]</f>
        <v>552232.00568868441</v>
      </c>
      <c r="G43" s="4">
        <f ca="1">G42*(1+通貨膨脹率)*(1+明細表[[#This Row],[報酬率]])/(1+變動部位報酬率)</f>
        <v>552232.00568868441</v>
      </c>
      <c r="H43" s="6"/>
      <c r="I43" s="6">
        <f ca="1">IF(試算模式="規劃",變動部位報酬率,IF(試算模式="模擬", _xlfn.NORM.INV(RAND(),變動部位報酬率,變動部位標準差),明細表[[#This Row],[實際報酬率]]))</f>
        <v>0.06</v>
      </c>
      <c r="J43" s="2">
        <f ca="1">(K42-G42)*明細表[[#This Row],[報酬率]]</f>
        <v>433779.34805807052</v>
      </c>
      <c r="K43" s="4">
        <f ca="1">K42+明細表[[#This Row],[變動部位獲利]]-G42</f>
        <v>7663435.1490259124</v>
      </c>
      <c r="L43" s="4">
        <f ca="1">明細表[[#This Row],[保證準備金結餘]]+明細表[[#This Row],[變動準備金節餘]]</f>
        <v>11510390.121401064</v>
      </c>
    </row>
    <row r="44" spans="1:12" x14ac:dyDescent="0.45">
      <c r="A44" s="3">
        <f t="shared" si="0"/>
        <v>79</v>
      </c>
      <c r="B44" s="3">
        <f>明細表[[#This Row],[年齡]]-$A$25</f>
        <v>19</v>
      </c>
      <c r="C44" s="4">
        <f>C43*(1+通貨膨脹率)</f>
        <v>185918.10858185706</v>
      </c>
      <c r="D44" s="4">
        <f t="shared" si="1"/>
        <v>54943.164557183845</v>
      </c>
      <c r="E44" s="4">
        <f>E43+明細表[[#This Row],[保證部位利息]]-C43</f>
        <v>3717820.8017027732</v>
      </c>
      <c r="F44" s="4">
        <f>退休時變動年金*(1+通貨膨脹率)^明細表[[#This Row],[年數]]</f>
        <v>557754.32574557106</v>
      </c>
      <c r="G44" s="4">
        <f ca="1">G43*(1+通貨膨脹率)*(1+明細表[[#This Row],[報酬率]])/(1+變動部位報酬率)</f>
        <v>557754.32574557129</v>
      </c>
      <c r="H44" s="6"/>
      <c r="I44" s="6">
        <f ca="1">IF(試算模式="規劃",變動部位報酬率,IF(試算模式="模擬", _xlfn.NORM.INV(RAND(),變動部位報酬率,變動部位標準差),明細表[[#This Row],[實際報酬率]]))</f>
        <v>0.06</v>
      </c>
      <c r="J44" s="2">
        <f ca="1">(K43-G43)*明細表[[#This Row],[報酬率]]</f>
        <v>426672.1886002337</v>
      </c>
      <c r="K44" s="4">
        <f ca="1">K43+明細表[[#This Row],[變動部位獲利]]-G43</f>
        <v>7537875.3319374621</v>
      </c>
      <c r="L44" s="4">
        <f ca="1">明細表[[#This Row],[保證準備金結餘]]+明細表[[#This Row],[變動準備金節餘]]</f>
        <v>11255696.133640235</v>
      </c>
    </row>
    <row r="45" spans="1:12" x14ac:dyDescent="0.45">
      <c r="A45" s="3">
        <f t="shared" si="0"/>
        <v>80</v>
      </c>
      <c r="B45" s="3">
        <f>明細表[[#This Row],[年齡]]-$A$25</f>
        <v>20</v>
      </c>
      <c r="C45" s="4">
        <f>C44*(1+通貨膨脹率)</f>
        <v>187777.28966767562</v>
      </c>
      <c r="D45" s="4">
        <f t="shared" si="1"/>
        <v>52978.540396813747</v>
      </c>
      <c r="E45" s="4">
        <f>E44+明細表[[#This Row],[保證部位利息]]-C44</f>
        <v>3584881.2335177297</v>
      </c>
      <c r="F45" s="4">
        <f>退休時變動年金*(1+通貨膨脹率)^明細表[[#This Row],[年數]]</f>
        <v>563331.86900302686</v>
      </c>
      <c r="G45" s="4">
        <f ca="1">G44*(1+通貨膨脹率)*(1+明細表[[#This Row],[報酬率]])/(1+變動部位報酬率)</f>
        <v>563331.86900302698</v>
      </c>
      <c r="H45" s="6"/>
      <c r="I45" s="6">
        <f ca="1">IF(試算模式="規劃",變動部位報酬率,IF(試算模式="模擬", _xlfn.NORM.INV(RAND(),變動部位報酬率,變動部位標準差),明細表[[#This Row],[實際報酬率]]))</f>
        <v>0.06</v>
      </c>
      <c r="J45" s="2">
        <f ca="1">(K44-G44)*明細表[[#This Row],[報酬率]]</f>
        <v>418807.26037151343</v>
      </c>
      <c r="K45" s="4">
        <f ca="1">K44+明細表[[#This Row],[變動部位獲利]]-G44</f>
        <v>7398928.2665634044</v>
      </c>
      <c r="L45" s="4">
        <f ca="1">明細表[[#This Row],[保證準備金結餘]]+明細表[[#This Row],[變動準備金節餘]]</f>
        <v>10983809.500081133</v>
      </c>
    </row>
    <row r="46" spans="1:12" x14ac:dyDescent="0.45">
      <c r="A46" s="3">
        <f t="shared" si="0"/>
        <v>81</v>
      </c>
      <c r="B46" s="3">
        <f>明細表[[#This Row],[年齡]]-$A$25</f>
        <v>21</v>
      </c>
      <c r="C46" s="4">
        <f>C45*(1+通貨膨脹率)</f>
        <v>189655.06256435238</v>
      </c>
      <c r="D46" s="4">
        <f t="shared" si="1"/>
        <v>50956.559157750809</v>
      </c>
      <c r="E46" s="4">
        <f>E45+明細表[[#This Row],[保證部位利息]]-C45</f>
        <v>3448060.503007805</v>
      </c>
      <c r="F46" s="4">
        <f>退休時變動年金*(1+通貨膨脹率)^明細表[[#This Row],[年數]]</f>
        <v>568965.18769305712</v>
      </c>
      <c r="G46" s="4">
        <f ca="1">G45*(1+通貨膨脹率)*(1+明細表[[#This Row],[報酬率]])/(1+變動部位報酬率)</f>
        <v>568965.18769305723</v>
      </c>
      <c r="H46" s="6"/>
      <c r="I46" s="6">
        <f ca="1">IF(試算模式="規劃",變動部位報酬率,IF(試算模式="模擬", _xlfn.NORM.INV(RAND(),變動部位報酬率,變動部位標準差),明細表[[#This Row],[實際報酬率]]))</f>
        <v>0.06</v>
      </c>
      <c r="J46" s="2">
        <f ca="1">(K45-G45)*明細表[[#This Row],[報酬率]]</f>
        <v>410135.78385362262</v>
      </c>
      <c r="K46" s="4">
        <f ca="1">K45+明細表[[#This Row],[變動部位獲利]]-G45</f>
        <v>7245732.1814139998</v>
      </c>
      <c r="L46" s="4">
        <f ca="1">明細表[[#This Row],[保證準備金結餘]]+明細表[[#This Row],[變動準備金節餘]]</f>
        <v>10693792.684421804</v>
      </c>
    </row>
    <row r="47" spans="1:12" x14ac:dyDescent="0.45">
      <c r="A47" s="3">
        <f t="shared" si="0"/>
        <v>82</v>
      </c>
      <c r="B47" s="3">
        <f>明細表[[#This Row],[年齡]]-$A$25</f>
        <v>22</v>
      </c>
      <c r="C47" s="4">
        <f>C46*(1+通貨膨脹率)</f>
        <v>191551.6131899959</v>
      </c>
      <c r="D47" s="4">
        <f t="shared" si="1"/>
        <v>48876.081606651787</v>
      </c>
      <c r="E47" s="4">
        <f>E46+明細表[[#This Row],[保證部位利息]]-C46</f>
        <v>3307281.5220501041</v>
      </c>
      <c r="F47" s="4">
        <f>退休時變動年金*(1+通貨膨脹率)^明細表[[#This Row],[年數]]</f>
        <v>574654.83956998785</v>
      </c>
      <c r="G47" s="4">
        <f ca="1">G46*(1+通貨膨脹率)*(1+明細表[[#This Row],[報酬率]])/(1+變動部位報酬率)</f>
        <v>574654.83956998785</v>
      </c>
      <c r="H47" s="6"/>
      <c r="I47" s="6">
        <f ca="1">IF(試算模式="規劃",變動部位報酬率,IF(試算模式="模擬", _xlfn.NORM.INV(RAND(),變動部位報酬率,變動部位標準差),明細表[[#This Row],[實際報酬率]]))</f>
        <v>0.06</v>
      </c>
      <c r="J47" s="2">
        <f ca="1">(K46-G46)*明細表[[#This Row],[報酬率]]</f>
        <v>400606.01962325652</v>
      </c>
      <c r="K47" s="4">
        <f ca="1">K46+明細表[[#This Row],[變動部位獲利]]-G46</f>
        <v>7077373.0133441985</v>
      </c>
      <c r="L47" s="4">
        <f ca="1">明細表[[#This Row],[保證準備金結餘]]+明細表[[#This Row],[變動準備金節餘]]</f>
        <v>10384654.535394304</v>
      </c>
    </row>
    <row r="48" spans="1:12" x14ac:dyDescent="0.45">
      <c r="A48" s="3">
        <f t="shared" si="0"/>
        <v>83</v>
      </c>
      <c r="B48" s="3">
        <f>明細表[[#This Row],[年齡]]-$A$25</f>
        <v>23</v>
      </c>
      <c r="C48" s="4">
        <f>C47*(1+通貨膨脹率)</f>
        <v>193467.12932189586</v>
      </c>
      <c r="D48" s="4">
        <f t="shared" si="1"/>
        <v>46735.948632901622</v>
      </c>
      <c r="E48" s="4">
        <f>E47+明細表[[#This Row],[保證部位利息]]-C47</f>
        <v>3162465.8574930099</v>
      </c>
      <c r="F48" s="4">
        <f>退休時變動年金*(1+通貨膨脹率)^明細表[[#This Row],[年數]]</f>
        <v>580401.38796568755</v>
      </c>
      <c r="G48" s="4">
        <f ca="1">G47*(1+通貨膨脹率)*(1+明細表[[#This Row],[報酬率]])/(1+變動部位報酬率)</f>
        <v>580401.38796568778</v>
      </c>
      <c r="H48" s="6"/>
      <c r="I48" s="6">
        <f ca="1">IF(試算模式="規劃",變動部位報酬率,IF(試算模式="模擬", _xlfn.NORM.INV(RAND(),變動部位報酬率,變動部位標準差),明細表[[#This Row],[實際報酬率]]))</f>
        <v>0.06</v>
      </c>
      <c r="J48" s="2">
        <f ca="1">(K47-G47)*明細表[[#This Row],[報酬率]]</f>
        <v>390163.09042645263</v>
      </c>
      <c r="K48" s="4">
        <f ca="1">K47+明細表[[#This Row],[變動部位獲利]]-G47</f>
        <v>6892881.2642006632</v>
      </c>
      <c r="L48" s="4">
        <f ca="1">明細表[[#This Row],[保證準備金結餘]]+明細表[[#This Row],[變動準備金節餘]]</f>
        <v>10055347.121693673</v>
      </c>
    </row>
    <row r="49" spans="1:12" x14ac:dyDescent="0.45">
      <c r="A49" s="3">
        <f t="shared" si="0"/>
        <v>84</v>
      </c>
      <c r="B49" s="3">
        <f>明細表[[#This Row],[年齡]]-$A$25</f>
        <v>24</v>
      </c>
      <c r="C49" s="4">
        <f>C48*(1+通貨膨脹率)</f>
        <v>195401.80061511483</v>
      </c>
      <c r="D49" s="4">
        <f t="shared" si="1"/>
        <v>44534.980922566705</v>
      </c>
      <c r="E49" s="4">
        <f>E48+明細表[[#This Row],[保證部位利息]]-C48</f>
        <v>3013533.7090936806</v>
      </c>
      <c r="F49" s="4">
        <f>退休時變動年金*(1+通貨膨脹率)^明細表[[#This Row],[年數]]</f>
        <v>586205.40184534458</v>
      </c>
      <c r="G49" s="4">
        <f ca="1">G48*(1+通貨膨脹率)*(1+明細表[[#This Row],[報酬率]])/(1+變動部位報酬率)</f>
        <v>586205.40184534469</v>
      </c>
      <c r="H49" s="6"/>
      <c r="I49" s="6">
        <f ca="1">IF(試算模式="規劃",變動部位報酬率,IF(試算模式="模擬", _xlfn.NORM.INV(RAND(),變動部位報酬率,變動部位標準差),明細表[[#This Row],[實際報酬率]]))</f>
        <v>0.06</v>
      </c>
      <c r="J49" s="2">
        <f ca="1">(K48-G48)*明細表[[#This Row],[報酬率]]</f>
        <v>378748.79257409851</v>
      </c>
      <c r="K49" s="4">
        <f ca="1">K48+明細表[[#This Row],[變動部位獲利]]-G48</f>
        <v>6691228.668809074</v>
      </c>
      <c r="L49" s="4">
        <f ca="1">明細表[[#This Row],[保證準備金結餘]]+明細表[[#This Row],[變動準備金節餘]]</f>
        <v>9704762.3779027537</v>
      </c>
    </row>
    <row r="50" spans="1:12" x14ac:dyDescent="0.45">
      <c r="A50" s="3">
        <f t="shared" si="0"/>
        <v>85</v>
      </c>
      <c r="B50" s="3">
        <f>明細表[[#This Row],[年齡]]-$A$25</f>
        <v>25</v>
      </c>
      <c r="C50" s="4">
        <f>C49*(1+通貨膨脹率)</f>
        <v>197355.81862126599</v>
      </c>
      <c r="D50" s="4">
        <f t="shared" si="1"/>
        <v>42271.978627178491</v>
      </c>
      <c r="E50" s="4">
        <f>E49+明細表[[#This Row],[保證部位利息]]-C49</f>
        <v>2860403.8871057443</v>
      </c>
      <c r="F50" s="4">
        <f>退休時變動年金*(1+通貨膨脹率)^明細表[[#This Row],[年數]]</f>
        <v>592067.45586379815</v>
      </c>
      <c r="G50" s="4">
        <f ca="1">G49*(1+通貨膨脹率)*(1+明細表[[#This Row],[報酬率]])/(1+變動部位報酬率)</f>
        <v>592067.45586379815</v>
      </c>
      <c r="H50" s="6"/>
      <c r="I50" s="6">
        <f ca="1">IF(試算模式="規劃",變動部位報酬率,IF(試算模式="模擬", _xlfn.NORM.INV(RAND(),變動部位報酬率,變動部位標準差),明細表[[#This Row],[實際報酬率]]))</f>
        <v>0.06</v>
      </c>
      <c r="J50" s="2">
        <f ca="1">(K49-G49)*明細表[[#This Row],[報酬率]]</f>
        <v>366301.39601782378</v>
      </c>
      <c r="K50" s="4">
        <f ca="1">K49+明細表[[#This Row],[變動部位獲利]]-G49</f>
        <v>6471324.662981553</v>
      </c>
      <c r="L50" s="4">
        <f ca="1">明細表[[#This Row],[保證準備金結餘]]+明細表[[#This Row],[變動準備金節餘]]</f>
        <v>9331728.5500872973</v>
      </c>
    </row>
    <row r="51" spans="1:12" x14ac:dyDescent="0.45">
      <c r="A51" s="3">
        <f t="shared" si="0"/>
        <v>86</v>
      </c>
      <c r="B51" s="3">
        <f>明細表[[#This Row],[年齡]]-$A$25</f>
        <v>26</v>
      </c>
      <c r="C51" s="4">
        <f>C50*(1+通貨膨脹率)</f>
        <v>199329.37680747866</v>
      </c>
      <c r="D51" s="4">
        <f t="shared" si="1"/>
        <v>39945.721027267173</v>
      </c>
      <c r="E51" s="4">
        <f>E50+明細表[[#This Row],[保證部位利息]]-C50</f>
        <v>2702993.7895117453</v>
      </c>
      <c r="F51" s="4">
        <f>退休時變動年金*(1+通貨膨脹率)^明細表[[#This Row],[年數]]</f>
        <v>597988.13042243605</v>
      </c>
      <c r="G51" s="4">
        <f ca="1">G50*(1+通貨膨脹率)*(1+明細表[[#This Row],[報酬率]])/(1+變動部位報酬率)</f>
        <v>597988.13042243617</v>
      </c>
      <c r="H51" s="6"/>
      <c r="I51" s="6">
        <f ca="1">IF(試算模式="規劃",變動部位報酬率,IF(試算模式="模擬", _xlfn.NORM.INV(RAND(),變動部位報酬率,變動部位標準差),明細表[[#This Row],[實際報酬率]]))</f>
        <v>0.06</v>
      </c>
      <c r="J51" s="2">
        <f ca="1">(K50-G50)*明細表[[#This Row],[報酬率]]</f>
        <v>352755.43242706527</v>
      </c>
      <c r="K51" s="4">
        <f ca="1">K50+明細表[[#This Row],[變動部位獲利]]-G50</f>
        <v>6232012.6395448204</v>
      </c>
      <c r="L51" s="4">
        <f ca="1">明細表[[#This Row],[保證準備金結餘]]+明細表[[#This Row],[變動準備金節餘]]</f>
        <v>8935006.4290565662</v>
      </c>
    </row>
    <row r="52" spans="1:12" x14ac:dyDescent="0.45">
      <c r="A52" s="3">
        <f t="shared" si="0"/>
        <v>87</v>
      </c>
      <c r="B52" s="3">
        <f>明細表[[#This Row],[年齡]]-$A$25</f>
        <v>27</v>
      </c>
      <c r="C52" s="4">
        <f>C51*(1+通貨膨脹率)</f>
        <v>201322.67057555346</v>
      </c>
      <c r="D52" s="4">
        <f t="shared" si="1"/>
        <v>37554.966190563995</v>
      </c>
      <c r="E52" s="4">
        <f>E51+明細表[[#This Row],[保證部位利息]]-C51</f>
        <v>2541219.3788948306</v>
      </c>
      <c r="F52" s="4">
        <f>退休時變動年金*(1+通貨膨脹率)^明細表[[#This Row],[年數]]</f>
        <v>603968.01172666019</v>
      </c>
      <c r="G52" s="4">
        <f ca="1">G51*(1+通貨膨脹率)*(1+明細表[[#This Row],[報酬率]])/(1+變動部位報酬率)</f>
        <v>603968.01172666054</v>
      </c>
      <c r="H52" s="6"/>
      <c r="I52" s="6">
        <f ca="1">IF(試算模式="規劃",變動部位報酬率,IF(試算模式="模擬", _xlfn.NORM.INV(RAND(),變動部位報酬率,變動部位標準差),明細表[[#This Row],[實際報酬率]]))</f>
        <v>0.06</v>
      </c>
      <c r="J52" s="2">
        <f ca="1">(K51-G51)*明細表[[#This Row],[報酬率]]</f>
        <v>338041.47054734308</v>
      </c>
      <c r="K52" s="4">
        <f ca="1">K51+明細表[[#This Row],[變動部位獲利]]-G51</f>
        <v>5972065.9796697274</v>
      </c>
      <c r="L52" s="4">
        <f ca="1">明細表[[#This Row],[保證準備金結餘]]+明細表[[#This Row],[變動準備金節餘]]</f>
        <v>8513285.3585645575</v>
      </c>
    </row>
    <row r="53" spans="1:12" x14ac:dyDescent="0.45">
      <c r="A53" s="3">
        <f t="shared" si="0"/>
        <v>88</v>
      </c>
      <c r="B53" s="3">
        <f>明細表[[#This Row],[年齡]]-$A$25</f>
        <v>28</v>
      </c>
      <c r="C53" s="4">
        <f>C52*(1+通貨膨脹率)</f>
        <v>203335.89728130901</v>
      </c>
      <c r="D53" s="4">
        <f t="shared" si="1"/>
        <v>35098.450624789155</v>
      </c>
      <c r="E53" s="4">
        <f>E52+明細表[[#This Row],[保證部位利息]]-C52</f>
        <v>2374995.1589440661</v>
      </c>
      <c r="F53" s="4">
        <f>退休時變動年金*(1+通貨膨脹率)^明細表[[#This Row],[年數]]</f>
        <v>610007.69184392691</v>
      </c>
      <c r="G53" s="4">
        <f ca="1">G52*(1+通貨膨脹率)*(1+明細表[[#This Row],[報酬率]])/(1+變動部位報酬率)</f>
        <v>610007.69184392714</v>
      </c>
      <c r="H53" s="6"/>
      <c r="I53" s="6">
        <f ca="1">IF(試算模式="規劃",變動部位報酬率,IF(試算模式="模擬", _xlfn.NORM.INV(RAND(),變動部位報酬率,變動部位標準差),明細表[[#This Row],[實際報酬率]]))</f>
        <v>0.06</v>
      </c>
      <c r="J53" s="2">
        <f ca="1">(K52-G52)*明細表[[#This Row],[報酬率]]</f>
        <v>322085.87807658402</v>
      </c>
      <c r="K53" s="4">
        <f ca="1">K52+明細表[[#This Row],[變動部位獲利]]-G52</f>
        <v>5690183.8460196508</v>
      </c>
      <c r="L53" s="4">
        <f ca="1">明細表[[#This Row],[保證準備金結餘]]+明細表[[#This Row],[變動準備金節餘]]</f>
        <v>8065179.0049637165</v>
      </c>
    </row>
    <row r="54" spans="1:12" x14ac:dyDescent="0.45">
      <c r="A54" s="3">
        <f t="shared" si="0"/>
        <v>89</v>
      </c>
      <c r="B54" s="3">
        <f>明細表[[#This Row],[年齡]]-$A$25</f>
        <v>29</v>
      </c>
      <c r="C54" s="4">
        <f>C53*(1+通貨膨脹率)</f>
        <v>205369.2562541221</v>
      </c>
      <c r="D54" s="4">
        <f t="shared" si="1"/>
        <v>32574.888924941355</v>
      </c>
      <c r="E54" s="4">
        <f>E53+明細表[[#This Row],[保證部位利息]]-C53</f>
        <v>2204234.1505876984</v>
      </c>
      <c r="F54" s="4">
        <f>退休時變動年金*(1+通貨膨脹率)^明細表[[#This Row],[年數]]</f>
        <v>616107.76876236615</v>
      </c>
      <c r="G54" s="4">
        <f ca="1">G53*(1+通貨膨脹率)*(1+明細表[[#This Row],[報酬率]])/(1+變動部位報酬率)</f>
        <v>616107.76876236638</v>
      </c>
      <c r="H54" s="6"/>
      <c r="I54" s="6">
        <f ca="1">IF(試算模式="規劃",變動部位報酬率,IF(試算模式="模擬", _xlfn.NORM.INV(RAND(),變動部位報酬率,變動部位標準差),明細表[[#This Row],[實際報酬率]]))</f>
        <v>0.06</v>
      </c>
      <c r="J54" s="2">
        <f ca="1">(K53-G53)*明細表[[#This Row],[報酬率]]</f>
        <v>304810.56925054343</v>
      </c>
      <c r="K54" s="4">
        <f ca="1">K53+明細表[[#This Row],[變動部位獲利]]-G53</f>
        <v>5384986.7234262675</v>
      </c>
      <c r="L54" s="4">
        <f ca="1">明細表[[#This Row],[保證準備金結餘]]+明細表[[#This Row],[變動準備金節餘]]</f>
        <v>7589220.8740139659</v>
      </c>
    </row>
    <row r="55" spans="1:12" x14ac:dyDescent="0.45">
      <c r="A55" s="3">
        <f t="shared" si="0"/>
        <v>90</v>
      </c>
      <c r="B55" s="3">
        <f>明細表[[#This Row],[年齡]]-$A$25</f>
        <v>30</v>
      </c>
      <c r="C55" s="4">
        <f>C54*(1+通貨膨脹率)</f>
        <v>207422.94881666332</v>
      </c>
      <c r="D55" s="4">
        <f t="shared" si="1"/>
        <v>29982.973415003642</v>
      </c>
      <c r="E55" s="4">
        <f>E54+明細表[[#This Row],[保證部位利息]]-C54</f>
        <v>2028847.8677485799</v>
      </c>
      <c r="F55" s="4">
        <f>退休時變動年金*(1+通貨膨脹率)^明細表[[#This Row],[年數]]</f>
        <v>622268.84644998994</v>
      </c>
      <c r="G55" s="4">
        <f ca="1">G54*(1+通貨膨脹率)*(1+明細表[[#This Row],[報酬率]])/(1+變動部位報酬率)</f>
        <v>622268.84644999006</v>
      </c>
      <c r="H55" s="6"/>
      <c r="I55" s="6">
        <f ca="1">IF(試算模式="規劃",變動部位報酬率,IF(試算模式="模擬", _xlfn.NORM.INV(RAND(),變動部位報酬率,變動部位標準差),明細表[[#This Row],[實際報酬率]]))</f>
        <v>0.06</v>
      </c>
      <c r="J55" s="2">
        <f ca="1">(K54-G54)*明細表[[#This Row],[報酬率]]</f>
        <v>286132.73727983405</v>
      </c>
      <c r="K55" s="4">
        <f ca="1">K54+明細表[[#This Row],[變動部位獲利]]-G54</f>
        <v>5055011.6919437349</v>
      </c>
      <c r="L55" s="4">
        <f ca="1">明細表[[#This Row],[保證準備金結餘]]+明細表[[#This Row],[變動準備金節餘]]</f>
        <v>7083859.5596923148</v>
      </c>
    </row>
    <row r="56" spans="1:12" x14ac:dyDescent="0.45">
      <c r="A56" s="3">
        <f t="shared" si="0"/>
        <v>91</v>
      </c>
      <c r="B56" s="3">
        <f>明細表[[#This Row],[年齡]]-$A$25</f>
        <v>31</v>
      </c>
      <c r="C56" s="4">
        <f>C55*(1+通貨膨脹率)</f>
        <v>209497.17830482995</v>
      </c>
      <c r="D56" s="4">
        <f t="shared" si="1"/>
        <v>27321.373783978746</v>
      </c>
      <c r="E56" s="4">
        <f>E55+明細表[[#This Row],[保證部位利息]]-C55</f>
        <v>1848746.2927158952</v>
      </c>
      <c r="F56" s="4">
        <f>退休時變動年金*(1+通貨膨脹率)^明細表[[#This Row],[年數]]</f>
        <v>628491.5349144896</v>
      </c>
      <c r="G56" s="4">
        <f ca="1">G55*(1+通貨膨脹率)*(1+明細表[[#This Row],[報酬率]])/(1+變動部位報酬率)</f>
        <v>628491.53491448995</v>
      </c>
      <c r="H56" s="6"/>
      <c r="I56" s="6">
        <f ca="1">IF(試算模式="規劃",變動部位報酬率,IF(試算模式="模擬", _xlfn.NORM.INV(RAND(),變動部位報酬率,變動部位標準差),明細表[[#This Row],[實際報酬率]]))</f>
        <v>0.06</v>
      </c>
      <c r="J56" s="2">
        <f ca="1">(K55-G55)*明細表[[#This Row],[報酬率]]</f>
        <v>265964.57072962471</v>
      </c>
      <c r="K56" s="4">
        <f ca="1">K55+明細表[[#This Row],[變動部位獲利]]-G55</f>
        <v>4698707.4162233695</v>
      </c>
      <c r="L56" s="4">
        <f ca="1">明細表[[#This Row],[保證準備金結餘]]+明細表[[#This Row],[變動準備金節餘]]</f>
        <v>6547453.7089392645</v>
      </c>
    </row>
    <row r="57" spans="1:12" x14ac:dyDescent="0.45">
      <c r="A57" s="3">
        <f t="shared" si="0"/>
        <v>92</v>
      </c>
      <c r="B57" s="3">
        <f>明細表[[#This Row],[年齡]]-$A$25</f>
        <v>32</v>
      </c>
      <c r="C57" s="4">
        <f>C56*(1+通貨膨脹率)</f>
        <v>211592.15008787825</v>
      </c>
      <c r="D57" s="4">
        <f t="shared" si="1"/>
        <v>24588.736716165979</v>
      </c>
      <c r="E57" s="4">
        <f>E56+明細表[[#This Row],[保證部位利息]]-C56</f>
        <v>1663837.8511272313</v>
      </c>
      <c r="F57" s="4">
        <f>退休時變動年金*(1+通貨膨脹率)^明細表[[#This Row],[年數]]</f>
        <v>634776.45026363467</v>
      </c>
      <c r="G57" s="4">
        <f ca="1">G56*(1+通貨膨脹率)*(1+明細表[[#This Row],[報酬率]])/(1+變動部位報酬率)</f>
        <v>634776.45026363491</v>
      </c>
      <c r="H57" s="6"/>
      <c r="I57" s="6">
        <f ca="1">IF(試算模式="規劃",變動部位報酬率,IF(試算模式="模擬", _xlfn.NORM.INV(RAND(),變動部位報酬率,變動部位標準差),明細表[[#This Row],[實際報酬率]]))</f>
        <v>0.06</v>
      </c>
      <c r="J57" s="2">
        <f ca="1">(K56-G56)*明細表[[#This Row],[報酬率]]</f>
        <v>244212.95287853279</v>
      </c>
      <c r="K57" s="4">
        <f ca="1">K56+明細表[[#This Row],[變動部位獲利]]-G56</f>
        <v>4314428.8341874126</v>
      </c>
      <c r="L57" s="4">
        <f ca="1">明細表[[#This Row],[保證準備金結餘]]+明細表[[#This Row],[變動準備金節餘]]</f>
        <v>5978266.6853146441</v>
      </c>
    </row>
    <row r="58" spans="1:12" x14ac:dyDescent="0.45">
      <c r="A58" s="3">
        <f t="shared" si="0"/>
        <v>93</v>
      </c>
      <c r="B58" s="3">
        <f>明細表[[#This Row],[年齡]]-$A$25</f>
        <v>33</v>
      </c>
      <c r="C58" s="4">
        <f>C57*(1+通貨膨脹率)</f>
        <v>213708.07158875704</v>
      </c>
      <c r="D58" s="4">
        <f t="shared" si="1"/>
        <v>21783.685515590292</v>
      </c>
      <c r="E58" s="4">
        <f>E57+明細表[[#This Row],[保證部位利息]]-C57</f>
        <v>1474029.3865549432</v>
      </c>
      <c r="F58" s="4">
        <f>退休時變動年金*(1+通貨膨脹率)^明細表[[#This Row],[年數]]</f>
        <v>641124.21476627106</v>
      </c>
      <c r="G58" s="4">
        <f ca="1">G57*(1+通貨膨脹率)*(1+明細表[[#This Row],[報酬率]])/(1+變動部位報酬率)</f>
        <v>641124.2147662713</v>
      </c>
      <c r="H58" s="6"/>
      <c r="I58" s="6">
        <f ca="1">IF(試算模式="規劃",變動部位報酬率,IF(試算模式="模擬", _xlfn.NORM.INV(RAND(),變動部位報酬率,變動部位標準差),明細表[[#This Row],[實際報酬率]]))</f>
        <v>0.06</v>
      </c>
      <c r="J58" s="2">
        <f ca="1">(K57-G57)*明細表[[#This Row],[報酬率]]</f>
        <v>220779.14303542665</v>
      </c>
      <c r="K58" s="4">
        <f ca="1">K57+明細表[[#This Row],[變動部位獲利]]-G57</f>
        <v>3900431.5269592046</v>
      </c>
      <c r="L58" s="4">
        <f ca="1">明細表[[#This Row],[保證準備金結餘]]+明細表[[#This Row],[變動準備金節餘]]</f>
        <v>5374460.9135141475</v>
      </c>
    </row>
    <row r="59" spans="1:12" x14ac:dyDescent="0.45">
      <c r="A59" s="3">
        <f t="shared" si="0"/>
        <v>94</v>
      </c>
      <c r="B59" s="3">
        <f>明細表[[#This Row],[年齡]]-$A$25</f>
        <v>34</v>
      </c>
      <c r="C59" s="4">
        <f>C58*(1+通貨膨脹率)</f>
        <v>215845.15230464461</v>
      </c>
      <c r="D59" s="4">
        <f t="shared" si="1"/>
        <v>18904.819724492791</v>
      </c>
      <c r="E59" s="4">
        <f>E58+明細表[[#This Row],[保證部位利息]]-C58</f>
        <v>1279226.1346906789</v>
      </c>
      <c r="F59" s="4">
        <f>退休時變動年金*(1+通貨膨脹率)^明細表[[#This Row],[年數]]</f>
        <v>647535.45691393374</v>
      </c>
      <c r="G59" s="4">
        <f ca="1">G58*(1+通貨膨脹率)*(1+明細表[[#This Row],[報酬率]])/(1+變動部位報酬率)</f>
        <v>647535.45691393397</v>
      </c>
      <c r="H59" s="6"/>
      <c r="I59" s="6">
        <f ca="1">IF(試算模式="規劃",變動部位報酬率,IF(試算模式="模擬", _xlfn.NORM.INV(RAND(),變動部位報酬率,變動部位標準差),明細表[[#This Row],[實際報酬率]]))</f>
        <v>0.06</v>
      </c>
      <c r="J59" s="2">
        <f ca="1">(K58-G58)*明細表[[#This Row],[報酬率]]</f>
        <v>195558.438731576</v>
      </c>
      <c r="K59" s="4">
        <f ca="1">K58+明細表[[#This Row],[變動部位獲利]]-G58</f>
        <v>3454865.750924509</v>
      </c>
      <c r="L59" s="4">
        <f ca="1">明細表[[#This Row],[保證準備金結餘]]+明細表[[#This Row],[變動準備金節餘]]</f>
        <v>4734091.8856151877</v>
      </c>
    </row>
    <row r="60" spans="1:12" x14ac:dyDescent="0.45">
      <c r="A60" s="3">
        <f t="shared" si="0"/>
        <v>95</v>
      </c>
      <c r="B60" s="3">
        <f>明細表[[#This Row],[年齡]]-$A$25</f>
        <v>35</v>
      </c>
      <c r="C60" s="4">
        <f>C59*(1+通貨膨脹率)</f>
        <v>218003.60382769105</v>
      </c>
      <c r="D60" s="4">
        <f t="shared" si="1"/>
        <v>15950.714735790512</v>
      </c>
      <c r="E60" s="4">
        <f>E59+明細表[[#This Row],[保證部位利息]]-C59</f>
        <v>1079331.6971218248</v>
      </c>
      <c r="F60" s="4">
        <f>退休時變動年金*(1+通貨膨脹率)^明細表[[#This Row],[年數]]</f>
        <v>654010.81148307305</v>
      </c>
      <c r="G60" s="4">
        <f ca="1">G59*(1+通貨膨脹率)*(1+明細表[[#This Row],[報酬率]])/(1+變動部位報酬率)</f>
        <v>654010.81148307328</v>
      </c>
      <c r="H60" s="6"/>
      <c r="I60" s="6">
        <f ca="1">IF(試算模式="規劃",變動部位報酬率,IF(試算模式="模擬", _xlfn.NORM.INV(RAND(),變動部位報酬率,變動部位標準差),明細表[[#This Row],[實際報酬率]]))</f>
        <v>0.06</v>
      </c>
      <c r="J60" s="2">
        <f ca="1">(K59-G59)*明細表[[#This Row],[報酬率]]</f>
        <v>168439.81764063449</v>
      </c>
      <c r="K60" s="4">
        <f ca="1">K59+明細表[[#This Row],[變動部位獲利]]-G59</f>
        <v>2975770.1116512092</v>
      </c>
      <c r="L60" s="4">
        <f ca="1">明細表[[#This Row],[保證準備金結餘]]+明細表[[#This Row],[變動準備金節餘]]</f>
        <v>4055101.8087730343</v>
      </c>
    </row>
    <row r="61" spans="1:12" x14ac:dyDescent="0.45">
      <c r="A61" s="3">
        <f t="shared" si="0"/>
        <v>96</v>
      </c>
      <c r="B61" s="3">
        <f>明細表[[#This Row],[年齡]]-$A$25</f>
        <v>36</v>
      </c>
      <c r="C61" s="4">
        <f>C60*(1+通貨膨脹率)</f>
        <v>220183.63986596797</v>
      </c>
      <c r="D61" s="4">
        <f t="shared" si="1"/>
        <v>12919.921399412005</v>
      </c>
      <c r="E61" s="4">
        <f>E60+明細表[[#This Row],[保證部位利息]]-C60</f>
        <v>874248.01469354576</v>
      </c>
      <c r="F61" s="4">
        <f>退休時變動年金*(1+通貨膨脹率)^明細表[[#This Row],[年數]]</f>
        <v>660550.91959790385</v>
      </c>
      <c r="G61" s="4">
        <f ca="1">G60*(1+通貨膨脹率)*(1+明細表[[#This Row],[報酬率]])/(1+變動部位報酬率)</f>
        <v>660550.91959790397</v>
      </c>
      <c r="H61" s="6"/>
      <c r="I61" s="6">
        <f ca="1">IF(試算模式="規劃",變動部位報酬率,IF(試算模式="模擬", _xlfn.NORM.INV(RAND(),變動部位報酬率,變動部位標準差),明細表[[#This Row],[實際報酬率]]))</f>
        <v>0.06</v>
      </c>
      <c r="J61" s="2">
        <f ca="1">(K60-G60)*明細表[[#This Row],[報酬率]]</f>
        <v>139305.55801008816</v>
      </c>
      <c r="K61" s="4">
        <f ca="1">K60+明細表[[#This Row],[變動部位獲利]]-G60</f>
        <v>2461064.8581782244</v>
      </c>
      <c r="L61" s="4">
        <f ca="1">明細表[[#This Row],[保證準備金結餘]]+明細表[[#This Row],[變動準備金節餘]]</f>
        <v>3335312.8728717701</v>
      </c>
    </row>
    <row r="62" spans="1:12" x14ac:dyDescent="0.45">
      <c r="A62" s="3">
        <f t="shared" si="0"/>
        <v>97</v>
      </c>
      <c r="B62" s="3">
        <f>明細表[[#This Row],[年齡]]-$A$25</f>
        <v>37</v>
      </c>
      <c r="C62" s="4">
        <f>C61*(1+通貨膨脹率)</f>
        <v>222385.47626462765</v>
      </c>
      <c r="D62" s="4">
        <f t="shared" si="1"/>
        <v>9810.9656224136652</v>
      </c>
      <c r="E62" s="4">
        <f>E61+明細表[[#This Row],[保證部位利息]]-C61</f>
        <v>663875.3404499914</v>
      </c>
      <c r="F62" s="4">
        <f>退休時變動年金*(1+通貨膨脹率)^明細表[[#This Row],[年數]]</f>
        <v>667156.42879388283</v>
      </c>
      <c r="G62" s="4">
        <f ca="1">G61*(1+通貨膨脹率)*(1+明細表[[#This Row],[報酬率]])/(1+變動部位報酬率)</f>
        <v>667156.42879388307</v>
      </c>
      <c r="H62" s="6"/>
      <c r="I62" s="6">
        <f ca="1">IF(試算模式="規劃",變動部位報酬率,IF(試算模式="模擬", _xlfn.NORM.INV(RAND(),變動部位報酬率,變動部位標準差),明細表[[#This Row],[實際報酬率]]))</f>
        <v>0.06</v>
      </c>
      <c r="J62" s="2">
        <f ca="1">(K61-G61)*明細表[[#This Row],[報酬率]]</f>
        <v>108030.83631481923</v>
      </c>
      <c r="K62" s="4">
        <f ca="1">K61+明細表[[#This Row],[變動部位獲利]]-G61</f>
        <v>1908544.7748951397</v>
      </c>
      <c r="L62" s="4">
        <f ca="1">明細表[[#This Row],[保證準備金結餘]]+明細表[[#This Row],[變動準備金節餘]]</f>
        <v>2572420.1153451311</v>
      </c>
    </row>
    <row r="63" spans="1:12" x14ac:dyDescent="0.45">
      <c r="A63" s="3">
        <f t="shared" si="0"/>
        <v>98</v>
      </c>
      <c r="B63" s="3">
        <f>明細表[[#This Row],[年齡]]-$A$25</f>
        <v>38</v>
      </c>
      <c r="C63" s="4">
        <f>C62*(1+通貨膨脹率)</f>
        <v>224609.33102727393</v>
      </c>
      <c r="D63" s="4">
        <f t="shared" si="1"/>
        <v>6622.3479627804563</v>
      </c>
      <c r="E63" s="4">
        <f>E62+明細表[[#This Row],[保證部位利息]]-C62</f>
        <v>448112.21214814426</v>
      </c>
      <c r="F63" s="4">
        <f>退休時變動年金*(1+通貨膨脹率)^明細表[[#This Row],[年數]]</f>
        <v>673827.99308182171</v>
      </c>
      <c r="G63" s="4">
        <f ca="1">G62*(1+通貨膨脹率)*(1+明細表[[#This Row],[報酬率]])/(1+變動部位報酬率)</f>
        <v>673827.99308182194</v>
      </c>
      <c r="H63" s="6"/>
      <c r="I63" s="6">
        <f ca="1">IF(試算模式="規劃",變動部位報酬率,IF(試算模式="模擬", _xlfn.NORM.INV(RAND(),變動部位報酬率,變動部位標準差),明細表[[#This Row],[實際報酬率]]))</f>
        <v>0.06</v>
      </c>
      <c r="J63" s="2">
        <f ca="1">(K62-G62)*明細表[[#This Row],[報酬率]]</f>
        <v>74483.300766075394</v>
      </c>
      <c r="K63" s="4">
        <f ca="1">K62+明細表[[#This Row],[變動部位獲利]]-G62</f>
        <v>1315871.646867332</v>
      </c>
      <c r="L63" s="4">
        <f ca="1">明細表[[#This Row],[保證準備金結餘]]+明細表[[#This Row],[變動準備金節餘]]</f>
        <v>1763983.8590154764</v>
      </c>
    </row>
    <row r="64" spans="1:12" x14ac:dyDescent="0.45">
      <c r="A64" s="3">
        <f t="shared" si="0"/>
        <v>99</v>
      </c>
      <c r="B64" s="3">
        <f>明細表[[#This Row],[年齡]]-$A$25</f>
        <v>39</v>
      </c>
      <c r="C64" s="4">
        <f>C63*(1+通貨膨脹率)</f>
        <v>226855.42433754666</v>
      </c>
      <c r="D64" s="4">
        <f t="shared" si="1"/>
        <v>3352.5432168130546</v>
      </c>
      <c r="E64" s="4">
        <f>E63+明細表[[#This Row],[保證部位利息]]-C63</f>
        <v>226855.42433768339</v>
      </c>
      <c r="F64" s="4">
        <f>退休時變動年金*(1+通貨膨脹率)^明細表[[#This Row],[年數]]</f>
        <v>680566.27301263972</v>
      </c>
      <c r="G64" s="4">
        <f ca="1">G63*(1+通貨膨脹率)*(1+明細表[[#This Row],[報酬率]])/(1+變動部位報酬率)</f>
        <v>680566.27301264019</v>
      </c>
      <c r="H64" s="6"/>
      <c r="I64" s="6">
        <f ca="1">IF(試算模式="規劃",變動部位報酬率,IF(試算模式="模擬", _xlfn.NORM.INV(RAND(),變動部位報酬率,變動部位標準差),明細表[[#This Row],[實際報酬率]]))</f>
        <v>0.06</v>
      </c>
      <c r="J64" s="2">
        <f ca="1">(K63-G63)*明細表[[#This Row],[報酬率]]</f>
        <v>38522.619227130606</v>
      </c>
      <c r="K64" s="4">
        <f ca="1">K63+明細表[[#This Row],[變動部位獲利]]-G63</f>
        <v>680566.27301264077</v>
      </c>
      <c r="L64" s="4">
        <f ca="1">明細表[[#This Row],[保證準備金結餘]]+明細表[[#This Row],[變動準備金節餘]]</f>
        <v>907421.69735032413</v>
      </c>
    </row>
    <row r="65" spans="1:12" x14ac:dyDescent="0.45">
      <c r="A65" s="3">
        <f t="shared" si="0"/>
        <v>100</v>
      </c>
      <c r="B65" s="3">
        <f>明細表[[#This Row],[年齡]]-$A$25</f>
        <v>40</v>
      </c>
      <c r="C65" s="4">
        <f>C64*(1+通貨膨脹率)</f>
        <v>229123.97858092212</v>
      </c>
      <c r="D65" s="4">
        <f t="shared" ref="D65" si="2">(E64-C64)*保證部位報酬率</f>
        <v>2.0509469322860241E-9</v>
      </c>
      <c r="E65" s="4">
        <f>E64+明細表[[#This Row],[保證部位利息]]-C64</f>
        <v>1.387670636177063E-7</v>
      </c>
      <c r="F65" s="4">
        <f>退休時變動年金*(1+通貨膨脹率)^明細表[[#This Row],[年數]]</f>
        <v>687371.93574276636</v>
      </c>
      <c r="G65" s="4">
        <f ca="1">G64*(1+通貨膨脹率)*(1+明細表[[#This Row],[報酬率]])/(1+變動部位報酬率)</f>
        <v>687371.9357427666</v>
      </c>
      <c r="H65" s="6"/>
      <c r="I65" s="6">
        <f ca="1">IF(試算模式="規劃",變動部位報酬率,IF(試算模式="模擬", _xlfn.NORM.INV(RAND(),變動部位報酬率,變動部位標準差),明細表[[#This Row],[實際報酬率]]))</f>
        <v>0.06</v>
      </c>
      <c r="J65" s="2">
        <f ca="1">(K64-G64)*明細表[[#This Row],[報酬率]]</f>
        <v>3.4924596548080443E-11</v>
      </c>
      <c r="K65" s="4">
        <f ca="1">K64+明細表[[#This Row],[變動部位獲利]]-G64</f>
        <v>0</v>
      </c>
      <c r="L65" s="4">
        <f ca="1">明細表[[#This Row],[保證準備金結餘]]+明細表[[#This Row],[變動準備金節餘]]</f>
        <v>1.387670636177063E-7</v>
      </c>
    </row>
    <row r="66" spans="1:12" x14ac:dyDescent="0.45">
      <c r="A66" s="3">
        <f t="shared" si="0"/>
        <v>101</v>
      </c>
      <c r="B66" s="3">
        <f>明細表[[#This Row],[年齡]]-$A$25</f>
        <v>41</v>
      </c>
      <c r="C66" s="4">
        <f>C65*(1+通貨膨脹率)</f>
        <v>231415.21836673134</v>
      </c>
      <c r="D66" s="4">
        <f t="shared" ref="D66:D75" si="3">(E65-C65)*保證部位報酬率</f>
        <v>-3436.8596787117503</v>
      </c>
      <c r="E66" s="4">
        <f>E65+明細表[[#This Row],[保證部位利息]]-C65</f>
        <v>-232560.8382594951</v>
      </c>
      <c r="F66" s="4">
        <f>退休時變動年金*(1+通貨膨脹率)^明細表[[#This Row],[年數]]</f>
        <v>694245.65510019404</v>
      </c>
      <c r="G66" s="4">
        <f ca="1">G65*(1+通貨膨脹率)*(1+明細表[[#This Row],[報酬率]])/(1+變動部位報酬率)</f>
        <v>694245.65510019427</v>
      </c>
      <c r="H66" s="6"/>
      <c r="I66" s="6">
        <f ca="1">IF(試算模式="規劃",變動部位報酬率,IF(試算模式="模擬", _xlfn.NORM.INV(RAND(),變動部位報酬率,變動部位標準差),明細表[[#This Row],[實際報酬率]]))</f>
        <v>0.06</v>
      </c>
      <c r="J66" s="2">
        <f ca="1">(K65-G65)*明細表[[#This Row],[報酬率]]</f>
        <v>-41242.316144565993</v>
      </c>
      <c r="K66" s="4">
        <f ca="1">K65+明細表[[#This Row],[變動部位獲利]]-G65</f>
        <v>-728614.25188733265</v>
      </c>
      <c r="L66" s="4">
        <f ca="1">明細表[[#This Row],[保證準備金結餘]]+明細表[[#This Row],[變動準備金節餘]]</f>
        <v>-961175.09014682774</v>
      </c>
    </row>
    <row r="67" spans="1:12" x14ac:dyDescent="0.45">
      <c r="A67" s="3">
        <f t="shared" si="0"/>
        <v>102</v>
      </c>
      <c r="B67" s="3">
        <f>明細表[[#This Row],[年齡]]-$A$25</f>
        <v>42</v>
      </c>
      <c r="C67" s="4">
        <f>C66*(1+通貨膨脹率)</f>
        <v>233729.37055039866</v>
      </c>
      <c r="D67" s="4">
        <f t="shared" si="3"/>
        <v>-6959.6408493933959</v>
      </c>
      <c r="E67" s="4">
        <f>E66+明細表[[#This Row],[保證部位利息]]-C66</f>
        <v>-470935.69747561985</v>
      </c>
      <c r="F67" s="4">
        <f>退休時變動年金*(1+通貨膨脹率)^明細表[[#This Row],[年數]]</f>
        <v>701188.11165119614</v>
      </c>
      <c r="G67" s="4">
        <f ca="1">G66*(1+通貨膨脹率)*(1+明細表[[#This Row],[報酬率]])/(1+變動部位報酬率)</f>
        <v>701188.11165119626</v>
      </c>
      <c r="H67" s="6"/>
      <c r="I67" s="6">
        <f ca="1">IF(試算模式="規劃",變動部位報酬率,IF(試算模式="模擬", _xlfn.NORM.INV(RAND(),變動部位報酬率,變動部位標準差),明細表[[#This Row],[實際報酬率]]))</f>
        <v>0.06</v>
      </c>
      <c r="J67" s="2">
        <f ca="1">(K66-G66)*明細表[[#This Row],[報酬率]]</f>
        <v>-85371.594419251618</v>
      </c>
      <c r="K67" s="4">
        <f ca="1">K66+明細表[[#This Row],[變動部位獲利]]-G66</f>
        <v>-1508231.5014067786</v>
      </c>
      <c r="L67" s="4">
        <f ca="1">明細表[[#This Row],[保證準備金結餘]]+明細表[[#This Row],[變動準備金節餘]]</f>
        <v>-1979167.1988823984</v>
      </c>
    </row>
    <row r="68" spans="1:12" x14ac:dyDescent="0.45">
      <c r="A68" s="3">
        <f t="shared" si="0"/>
        <v>103</v>
      </c>
      <c r="B68" s="3">
        <f>明細表[[#This Row],[年齡]]-$A$25</f>
        <v>43</v>
      </c>
      <c r="C68" s="4">
        <f>C67*(1+通貨膨脹率)</f>
        <v>236066.66425590264</v>
      </c>
      <c r="D68" s="4">
        <f t="shared" si="3"/>
        <v>-10569.976020390279</v>
      </c>
      <c r="E68" s="4">
        <f>E67+明細表[[#This Row],[保證部位利息]]-C67</f>
        <v>-715235.04404640873</v>
      </c>
      <c r="F68" s="4">
        <f>退休時變動年金*(1+通貨膨脹率)^明細表[[#This Row],[年數]]</f>
        <v>708199.99276770791</v>
      </c>
      <c r="G68" s="4">
        <f ca="1">G67*(1+通貨膨脹率)*(1+明細表[[#This Row],[報酬率]])/(1+變動部位報酬率)</f>
        <v>708199.99276770826</v>
      </c>
      <c r="H68" s="6"/>
      <c r="I68" s="6">
        <f ca="1">IF(試算模式="規劃",變動部位報酬率,IF(試算模式="模擬", _xlfn.NORM.INV(RAND(),變動部位報酬率,變動部位標準差),明細表[[#This Row],[實際報酬率]]))</f>
        <v>0.06</v>
      </c>
      <c r="J68" s="2">
        <f ca="1">(K67-G67)*明細表[[#This Row],[報酬率]]</f>
        <v>-132565.17678347847</v>
      </c>
      <c r="K68" s="4">
        <f ca="1">K67+明細表[[#This Row],[變動部位獲利]]-G67</f>
        <v>-2341984.7898414531</v>
      </c>
      <c r="L68" s="4">
        <f ca="1">明細表[[#This Row],[保證準備金結餘]]+明細表[[#This Row],[變動準備金節餘]]</f>
        <v>-3057219.833887862</v>
      </c>
    </row>
    <row r="69" spans="1:12" x14ac:dyDescent="0.45">
      <c r="A69" s="3">
        <f t="shared" si="0"/>
        <v>104</v>
      </c>
      <c r="B69" s="3">
        <f>明細表[[#This Row],[年齡]]-$A$25</f>
        <v>44</v>
      </c>
      <c r="C69" s="4">
        <f>C68*(1+通貨膨脹率)</f>
        <v>238427.33089846166</v>
      </c>
      <c r="D69" s="4">
        <f t="shared" si="3"/>
        <v>-14269.52562453467</v>
      </c>
      <c r="E69" s="4">
        <f>E68+明細表[[#This Row],[保證部位利息]]-C68</f>
        <v>-965571.23392684606</v>
      </c>
      <c r="F69" s="4">
        <f>退休時變動年金*(1+通貨膨脹率)^明細表[[#This Row],[年數]]</f>
        <v>715281.99269538501</v>
      </c>
      <c r="G69" s="4">
        <f ca="1">G68*(1+通貨膨脹率)*(1+明細表[[#This Row],[報酬率]])/(1+變動部位報酬率)</f>
        <v>715281.99269538536</v>
      </c>
      <c r="H69" s="6"/>
      <c r="I69" s="6">
        <f ca="1">IF(試算模式="規劃",變動部位報酬率,IF(試算模式="模擬", _xlfn.NORM.INV(RAND(),變動部位報酬率,變動部位標準差),明細表[[#This Row],[實際報酬率]]))</f>
        <v>0.06</v>
      </c>
      <c r="J69" s="2">
        <f ca="1">(K68-G68)*明細表[[#This Row],[報酬率]]</f>
        <v>-183011.08695654967</v>
      </c>
      <c r="K69" s="4">
        <f ca="1">K68+明細表[[#This Row],[變動部位獲利]]-G68</f>
        <v>-3233195.8695657114</v>
      </c>
      <c r="L69" s="4">
        <f ca="1">明細表[[#This Row],[保證準備金結餘]]+明細表[[#This Row],[變動準備金節餘]]</f>
        <v>-4198767.1034925571</v>
      </c>
    </row>
    <row r="70" spans="1:12" x14ac:dyDescent="0.45">
      <c r="A70" s="3">
        <f t="shared" si="0"/>
        <v>105</v>
      </c>
      <c r="B70" s="3">
        <f>明細表[[#This Row],[年齡]]-$A$25</f>
        <v>45</v>
      </c>
      <c r="C70" s="4">
        <f>C69*(1+通貨膨脹率)</f>
        <v>240811.60420744627</v>
      </c>
      <c r="D70" s="4">
        <f t="shared" si="3"/>
        <v>-18059.978472379615</v>
      </c>
      <c r="E70" s="4">
        <f>E69+明細表[[#This Row],[保證部位利息]]-C69</f>
        <v>-1222058.5432976873</v>
      </c>
      <c r="F70" s="4">
        <f>退休時變動年金*(1+通貨膨脹率)^明細表[[#This Row],[年數]]</f>
        <v>722434.81262233888</v>
      </c>
      <c r="G70" s="4">
        <f ca="1">G69*(1+通貨膨脹率)*(1+明細表[[#This Row],[報酬率]])/(1+變動部位報酬率)</f>
        <v>722434.81262233923</v>
      </c>
      <c r="H70" s="6"/>
      <c r="I70" s="6">
        <f ca="1">IF(試算模式="規劃",變動部位報酬率,IF(試算模式="模擬", _xlfn.NORM.INV(RAND(),變動部位報酬率,變動部位標準差),明細表[[#This Row],[實際報酬率]]))</f>
        <v>0.06</v>
      </c>
      <c r="J70" s="2">
        <f ca="1">(K69-G69)*明細表[[#This Row],[報酬率]]</f>
        <v>-236908.67173566582</v>
      </c>
      <c r="K70" s="4">
        <f ca="1">K69+明細表[[#This Row],[變動部位獲利]]-G69</f>
        <v>-4185386.5339967627</v>
      </c>
      <c r="L70" s="4">
        <f ca="1">明細表[[#This Row],[保證準備金結餘]]+明細表[[#This Row],[變動準備金節餘]]</f>
        <v>-5407445.0772944503</v>
      </c>
    </row>
    <row r="71" spans="1:12" x14ac:dyDescent="0.45">
      <c r="A71" s="3">
        <f t="shared" si="0"/>
        <v>106</v>
      </c>
      <c r="B71" s="3">
        <f>明細表[[#This Row],[年齡]]-$A$25</f>
        <v>46</v>
      </c>
      <c r="C71" s="4">
        <f>C70*(1+通貨膨脹率)</f>
        <v>243219.72024952073</v>
      </c>
      <c r="D71" s="4">
        <f t="shared" si="3"/>
        <v>-21943.052212577004</v>
      </c>
      <c r="E71" s="4">
        <f>E70+明細表[[#This Row],[保證部位利息]]-C70</f>
        <v>-1484813.1997177107</v>
      </c>
      <c r="F71" s="4">
        <f>退休時變動年金*(1+通貨膨脹率)^明細表[[#This Row],[年數]]</f>
        <v>729659.16074856231</v>
      </c>
      <c r="G71" s="4">
        <f ca="1">G70*(1+通貨膨脹率)*(1+明細表[[#This Row],[報酬率]])/(1+變動部位報酬率)</f>
        <v>729659.16074856266</v>
      </c>
      <c r="H71" s="6"/>
      <c r="I71" s="6">
        <f ca="1">IF(試算模式="規劃",變動部位報酬率,IF(試算模式="模擬", _xlfn.NORM.INV(RAND(),變動部位報酬率,變動部位標準差),明細表[[#This Row],[實際報酬率]]))</f>
        <v>0.06</v>
      </c>
      <c r="J71" s="2">
        <f ca="1">(K70-G70)*明細表[[#This Row],[報酬率]]</f>
        <v>-294469.28079714614</v>
      </c>
      <c r="K71" s="4">
        <f ca="1">K70+明細表[[#This Row],[變動部位獲利]]-G70</f>
        <v>-5202290.6274162484</v>
      </c>
      <c r="L71" s="4">
        <f ca="1">明細表[[#This Row],[保證準備金結餘]]+明細表[[#This Row],[變動準備金節餘]]</f>
        <v>-6687103.8271339592</v>
      </c>
    </row>
    <row r="72" spans="1:12" x14ac:dyDescent="0.45">
      <c r="A72" s="3">
        <f t="shared" si="0"/>
        <v>107</v>
      </c>
      <c r="B72" s="3">
        <f>明細表[[#This Row],[年齡]]-$A$25</f>
        <v>47</v>
      </c>
      <c r="C72" s="4">
        <f>C71*(1+通貨膨脹率)</f>
        <v>245651.91745201594</v>
      </c>
      <c r="D72" s="4">
        <f t="shared" si="3"/>
        <v>-25920.493799508469</v>
      </c>
      <c r="E72" s="4">
        <f>E71+明細表[[#This Row],[保證部位利息]]-C71</f>
        <v>-1753953.4137667399</v>
      </c>
      <c r="F72" s="4">
        <f>退休時變動年金*(1+通貨膨脹率)^明細表[[#This Row],[年數]]</f>
        <v>736955.75235604774</v>
      </c>
      <c r="G72" s="4">
        <f ca="1">G71*(1+通貨膨脹率)*(1+明細表[[#This Row],[報酬率]])/(1+變動部位報酬率)</f>
        <v>736955.75235604832</v>
      </c>
      <c r="H72" s="6"/>
      <c r="I72" s="6">
        <f ca="1">IF(試算模式="規劃",變動部位報酬率,IF(試算模式="模擬", _xlfn.NORM.INV(RAND(),變動部位報酬率,變動部位標準差),明細表[[#This Row],[實際報酬率]]))</f>
        <v>0.06</v>
      </c>
      <c r="J72" s="2">
        <f ca="1">(K71-G71)*明細表[[#This Row],[報酬率]]</f>
        <v>-355916.98728988867</v>
      </c>
      <c r="K72" s="4">
        <f ca="1">K71+明細表[[#This Row],[變動部位獲利]]-G71</f>
        <v>-6287866.7754547</v>
      </c>
      <c r="L72" s="4">
        <f ca="1">明細表[[#This Row],[保證準備金結餘]]+明細表[[#This Row],[變動準備金節餘]]</f>
        <v>-8041820.1892214399</v>
      </c>
    </row>
    <row r="73" spans="1:12" x14ac:dyDescent="0.45">
      <c r="A73" s="3">
        <f t="shared" si="0"/>
        <v>108</v>
      </c>
      <c r="B73" s="3">
        <f>明細表[[#This Row],[年齡]]-$A$25</f>
        <v>48</v>
      </c>
      <c r="C73" s="4">
        <f>C72*(1+通貨膨脹率)</f>
        <v>248108.4366265361</v>
      </c>
      <c r="D73" s="4">
        <f t="shared" si="3"/>
        <v>-29994.079968281338</v>
      </c>
      <c r="E73" s="4">
        <f>E72+明細表[[#This Row],[保證部位利息]]-C72</f>
        <v>-2029599.4111870371</v>
      </c>
      <c r="F73" s="4">
        <f>退休時變動年金*(1+通貨膨脹率)^明細表[[#This Row],[年數]]</f>
        <v>744325.30987960845</v>
      </c>
      <c r="G73" s="4">
        <f ca="1">G72*(1+通貨膨脹率)*(1+明細表[[#This Row],[報酬率]])/(1+變動部位報酬率)</f>
        <v>744325.3098796088</v>
      </c>
      <c r="H73" s="6"/>
      <c r="I73" s="6">
        <f ca="1">IF(試算模式="規劃",變動部位報酬率,IF(試算模式="模擬", _xlfn.NORM.INV(RAND(),變動部位報酬率,變動部位標準差),明細表[[#This Row],[實際報酬率]]))</f>
        <v>0.06</v>
      </c>
      <c r="J73" s="2">
        <f ca="1">(K72-G72)*明細表[[#This Row],[報酬率]]</f>
        <v>-421489.35166864493</v>
      </c>
      <c r="K73" s="4">
        <f ca="1">K72+明細表[[#This Row],[變動部位獲利]]-G72</f>
        <v>-7446311.8794793934</v>
      </c>
      <c r="L73" s="4">
        <f ca="1">明細表[[#This Row],[保證準備金結餘]]+明細表[[#This Row],[變動準備金節餘]]</f>
        <v>-9475911.2906664312</v>
      </c>
    </row>
    <row r="74" spans="1:12" x14ac:dyDescent="0.45">
      <c r="A74" s="3">
        <f t="shared" si="0"/>
        <v>109</v>
      </c>
      <c r="B74" s="3">
        <f>明細表[[#This Row],[年齡]]-$A$25</f>
        <v>49</v>
      </c>
      <c r="C74" s="4">
        <f>C73*(1+通貨膨脹率)</f>
        <v>250589.52099280147</v>
      </c>
      <c r="D74" s="4">
        <f t="shared" si="3"/>
        <v>-34165.617717203597</v>
      </c>
      <c r="E74" s="4">
        <f>E73+明細表[[#This Row],[保證部位利息]]-C73</f>
        <v>-2311873.4655307769</v>
      </c>
      <c r="F74" s="4">
        <f>退休時變動年金*(1+通貨膨脹率)^明細表[[#This Row],[年數]]</f>
        <v>751768.56297840457</v>
      </c>
      <c r="G74" s="4">
        <f ca="1">G73*(1+通貨膨脹率)*(1+明細表[[#This Row],[報酬率]])/(1+變動部位報酬率)</f>
        <v>751768.56297840492</v>
      </c>
      <c r="H74" s="6"/>
      <c r="I74" s="6">
        <f ca="1">IF(試算模式="規劃",變動部位報酬率,IF(試算模式="模擬", _xlfn.NORM.INV(RAND(),變動部位報酬率,變動部位標準差),明細表[[#This Row],[實際報酬率]]))</f>
        <v>0.06</v>
      </c>
      <c r="J74" s="2">
        <f ca="1">(K73-G73)*明細表[[#This Row],[報酬率]]</f>
        <v>-491438.23136154009</v>
      </c>
      <c r="K74" s="4">
        <f ca="1">K73+明細表[[#This Row],[變動部位獲利]]-G73</f>
        <v>-8682075.4207205418</v>
      </c>
      <c r="L74" s="4">
        <f ca="1">明細表[[#This Row],[保證準備金結餘]]+明細表[[#This Row],[變動準備金節餘]]</f>
        <v>-10993948.886251319</v>
      </c>
    </row>
    <row r="75" spans="1:12" x14ac:dyDescent="0.45">
      <c r="A75" s="3">
        <f t="shared" si="0"/>
        <v>110</v>
      </c>
      <c r="B75" s="3">
        <f>明細表[[#This Row],[年齡]]-$A$25</f>
        <v>50</v>
      </c>
      <c r="C75" s="4">
        <f>C74*(1+通貨膨脹率)</f>
        <v>253095.41620272948</v>
      </c>
      <c r="D75" s="4">
        <f t="shared" si="3"/>
        <v>-38436.944797853677</v>
      </c>
      <c r="E75" s="4">
        <f>E74+明細表[[#This Row],[保證部位利息]]-C74</f>
        <v>-2600899.9313214319</v>
      </c>
      <c r="F75" s="4">
        <f>退休時變動年金*(1+通貨膨脹率)^明細表[[#This Row],[年數]]</f>
        <v>759286.2486081887</v>
      </c>
      <c r="G75" s="4">
        <f ca="1">G74*(1+通貨膨脹率)*(1+明細表[[#This Row],[報酬率]])/(1+變動部位報酬率)</f>
        <v>759286.24860818894</v>
      </c>
      <c r="H75" s="6"/>
      <c r="I75" s="6">
        <f ca="1">IF(試算模式="規劃",變動部位報酬率,IF(試算模式="模擬", _xlfn.NORM.INV(RAND(),變動部位報酬率,變動部位標準差),明細表[[#This Row],[實際報酬率]]))</f>
        <v>0.06</v>
      </c>
      <c r="J75" s="2">
        <f ca="1">(K74-G74)*明細表[[#This Row],[報酬率]]</f>
        <v>-566030.6390219368</v>
      </c>
      <c r="K75" s="4">
        <f ca="1">K74+明細表[[#This Row],[變動部位獲利]]-G74</f>
        <v>-9999874.6227208842</v>
      </c>
      <c r="L75" s="4">
        <f ca="1">明細表[[#This Row],[保證準備金結餘]]+明細表[[#This Row],[變動準備金節餘]]</f>
        <v>-12600774.554042317</v>
      </c>
    </row>
    <row r="76" spans="1:12" x14ac:dyDescent="0.45">
      <c r="A76" s="3"/>
      <c r="B76" s="2"/>
    </row>
    <row r="77" spans="1:12" x14ac:dyDescent="0.45">
      <c r="A77" s="3"/>
      <c r="B77" s="2"/>
    </row>
    <row r="78" spans="1:12" x14ac:dyDescent="0.45">
      <c r="A78" s="3"/>
      <c r="B78" s="2"/>
    </row>
    <row r="79" spans="1:12" x14ac:dyDescent="0.45">
      <c r="A79" s="3"/>
      <c r="B79" s="2"/>
    </row>
    <row r="87" spans="1:11" x14ac:dyDescent="0.45">
      <c r="G87" s="2"/>
      <c r="H87" s="2"/>
      <c r="I87" s="2"/>
      <c r="J87" s="2"/>
      <c r="K87" s="2"/>
    </row>
    <row r="88" spans="1:11" x14ac:dyDescent="0.45">
      <c r="A88" s="3"/>
      <c r="B88" s="2"/>
      <c r="C88" s="2"/>
      <c r="D88" s="2"/>
      <c r="E88" s="2"/>
      <c r="F88" s="2"/>
      <c r="G88" s="2"/>
      <c r="H88" s="2"/>
      <c r="I88" s="2"/>
      <c r="J88" s="2"/>
      <c r="K88" s="2"/>
    </row>
    <row r="89" spans="1:11" x14ac:dyDescent="0.45">
      <c r="A89" s="3"/>
      <c r="B89" s="2"/>
    </row>
    <row r="90" spans="1:11" x14ac:dyDescent="0.45">
      <c r="A90" s="3"/>
      <c r="B90" s="2"/>
    </row>
    <row r="91" spans="1:11" x14ac:dyDescent="0.45">
      <c r="A91" s="3"/>
      <c r="B91" s="2"/>
    </row>
    <row r="92" spans="1:11" x14ac:dyDescent="0.45">
      <c r="A92" s="3"/>
      <c r="B92" s="2"/>
    </row>
    <row r="93" spans="1:11" x14ac:dyDescent="0.45">
      <c r="A93" s="3"/>
      <c r="B93" s="2"/>
    </row>
    <row r="94" spans="1:11" x14ac:dyDescent="0.45">
      <c r="A94" s="3"/>
      <c r="B94" s="2"/>
    </row>
    <row r="95" spans="1:11" x14ac:dyDescent="0.45">
      <c r="A95" s="3"/>
      <c r="B95" s="2"/>
    </row>
    <row r="96" spans="1:11" x14ac:dyDescent="0.45">
      <c r="A96" s="3"/>
      <c r="B96" s="2"/>
    </row>
    <row r="97" spans="1:2" x14ac:dyDescent="0.45">
      <c r="A97" s="3"/>
      <c r="B97" s="2"/>
    </row>
    <row r="98" spans="1:2" x14ac:dyDescent="0.45">
      <c r="A98" s="3"/>
      <c r="B98" s="2"/>
    </row>
    <row r="99" spans="1:2" x14ac:dyDescent="0.45">
      <c r="A99" s="3"/>
      <c r="B99" s="2"/>
    </row>
    <row r="100" spans="1:2" x14ac:dyDescent="0.45">
      <c r="A100" s="3"/>
      <c r="B100" s="2"/>
    </row>
    <row r="101" spans="1:2" x14ac:dyDescent="0.45">
      <c r="A101" s="3"/>
      <c r="B101" s="2"/>
    </row>
    <row r="102" spans="1:2" x14ac:dyDescent="0.45">
      <c r="A102" s="3"/>
      <c r="B102" s="2"/>
    </row>
    <row r="103" spans="1:2" x14ac:dyDescent="0.45">
      <c r="A103" s="3"/>
      <c r="B103" s="2"/>
    </row>
    <row r="104" spans="1:2" x14ac:dyDescent="0.45">
      <c r="A104" s="3"/>
      <c r="B104" s="2"/>
    </row>
    <row r="105" spans="1:2" x14ac:dyDescent="0.45">
      <c r="A105" s="3"/>
      <c r="B105" s="2"/>
    </row>
    <row r="106" spans="1:2" x14ac:dyDescent="0.45">
      <c r="A106" s="3"/>
      <c r="B106" s="2"/>
    </row>
    <row r="107" spans="1:2" x14ac:dyDescent="0.45">
      <c r="A107" s="3"/>
      <c r="B107" s="2"/>
    </row>
    <row r="108" spans="1:2" x14ac:dyDescent="0.45">
      <c r="A108" s="3"/>
      <c r="B108" s="2"/>
    </row>
    <row r="109" spans="1:2" x14ac:dyDescent="0.45">
      <c r="A109" s="3"/>
      <c r="B109" s="2"/>
    </row>
    <row r="110" spans="1:2" x14ac:dyDescent="0.45">
      <c r="A110" s="3"/>
      <c r="B110" s="2"/>
    </row>
    <row r="111" spans="1:2" x14ac:dyDescent="0.45">
      <c r="A111" s="3"/>
      <c r="B111" s="2"/>
    </row>
    <row r="112" spans="1:2" x14ac:dyDescent="0.45">
      <c r="A112" s="3"/>
      <c r="B112" s="2"/>
    </row>
    <row r="113" spans="1:2" x14ac:dyDescent="0.45">
      <c r="A113" s="3"/>
      <c r="B113" s="2"/>
    </row>
    <row r="114" spans="1:2" x14ac:dyDescent="0.45">
      <c r="A114" s="3"/>
      <c r="B114" s="2"/>
    </row>
    <row r="115" spans="1:2" x14ac:dyDescent="0.45">
      <c r="A115" s="3"/>
      <c r="B115" s="2"/>
    </row>
    <row r="116" spans="1:2" x14ac:dyDescent="0.45">
      <c r="A116" s="3"/>
      <c r="B116" s="2"/>
    </row>
    <row r="117" spans="1:2" x14ac:dyDescent="0.45">
      <c r="A117" s="3"/>
      <c r="B117" s="2"/>
    </row>
    <row r="118" spans="1:2" x14ac:dyDescent="0.45">
      <c r="A118" s="3"/>
      <c r="B118" s="2"/>
    </row>
    <row r="119" spans="1:2" x14ac:dyDescent="0.45">
      <c r="A119" s="3"/>
      <c r="B119" s="2"/>
    </row>
    <row r="120" spans="1:2" x14ac:dyDescent="0.45">
      <c r="A120" s="3"/>
      <c r="B120" s="2"/>
    </row>
    <row r="121" spans="1:2" x14ac:dyDescent="0.45">
      <c r="A121" s="3"/>
      <c r="B121" s="2"/>
    </row>
    <row r="122" spans="1:2" x14ac:dyDescent="0.45">
      <c r="A122" s="3"/>
      <c r="B122" s="2"/>
    </row>
    <row r="123" spans="1:2" x14ac:dyDescent="0.45">
      <c r="A123" s="3"/>
      <c r="B123" s="2"/>
    </row>
    <row r="124" spans="1:2" x14ac:dyDescent="0.45">
      <c r="A124" s="3"/>
      <c r="B124" s="2"/>
    </row>
    <row r="125" spans="1:2" x14ac:dyDescent="0.45">
      <c r="A125" s="3"/>
      <c r="B125" s="2"/>
    </row>
    <row r="126" spans="1:2" x14ac:dyDescent="0.45">
      <c r="A126" s="3"/>
      <c r="B126" s="2"/>
    </row>
    <row r="127" spans="1:2" x14ac:dyDescent="0.45">
      <c r="A127" s="3"/>
      <c r="B127" s="2"/>
    </row>
    <row r="128" spans="1:2" x14ac:dyDescent="0.45">
      <c r="A128" s="3"/>
      <c r="B128" s="2"/>
    </row>
    <row r="129" spans="1:2" x14ac:dyDescent="0.45">
      <c r="A129" s="3"/>
      <c r="B129" s="2"/>
    </row>
    <row r="130" spans="1:2" x14ac:dyDescent="0.45">
      <c r="A130" s="3"/>
      <c r="B130" s="2"/>
    </row>
    <row r="131" spans="1:2" x14ac:dyDescent="0.45">
      <c r="A131" s="3"/>
      <c r="B131" s="2"/>
    </row>
    <row r="132" spans="1:2" x14ac:dyDescent="0.45">
      <c r="A132" s="3"/>
      <c r="B132" s="2"/>
    </row>
    <row r="133" spans="1:2" x14ac:dyDescent="0.45">
      <c r="A133" s="3"/>
      <c r="B133" s="2"/>
    </row>
    <row r="134" spans="1:2" x14ac:dyDescent="0.45">
      <c r="A134" s="3"/>
      <c r="B134" s="2"/>
    </row>
    <row r="135" spans="1:2" x14ac:dyDescent="0.45">
      <c r="A135" s="3"/>
      <c r="B135" s="2"/>
    </row>
    <row r="136" spans="1:2" x14ac:dyDescent="0.45">
      <c r="A136" s="3"/>
      <c r="B136" s="2"/>
    </row>
    <row r="137" spans="1:2" x14ac:dyDescent="0.45">
      <c r="A137" s="3"/>
      <c r="B137" s="2"/>
    </row>
    <row r="138" spans="1:2" x14ac:dyDescent="0.45">
      <c r="A138" s="3"/>
      <c r="B138" s="2"/>
    </row>
    <row r="139" spans="1:2" x14ac:dyDescent="0.45">
      <c r="A139" s="3"/>
      <c r="B139" s="2"/>
    </row>
    <row r="140" spans="1:2" x14ac:dyDescent="0.45">
      <c r="A140" s="3"/>
      <c r="B140" s="2"/>
    </row>
    <row r="141" spans="1:2" x14ac:dyDescent="0.45">
      <c r="A141" s="3"/>
      <c r="B141" s="2"/>
    </row>
    <row r="142" spans="1:2" x14ac:dyDescent="0.45">
      <c r="A142" s="3"/>
      <c r="B142" s="2"/>
    </row>
    <row r="143" spans="1:2" x14ac:dyDescent="0.45">
      <c r="A143" s="3"/>
      <c r="B143" s="2"/>
    </row>
    <row r="144" spans="1:2" x14ac:dyDescent="0.45">
      <c r="A144" s="3"/>
      <c r="B144" s="2"/>
    </row>
    <row r="145" spans="1:2" x14ac:dyDescent="0.45">
      <c r="A145" s="3"/>
      <c r="B145" s="2"/>
    </row>
    <row r="146" spans="1:2" x14ac:dyDescent="0.45">
      <c r="A146" s="3"/>
      <c r="B146" s="2"/>
    </row>
    <row r="147" spans="1:2" x14ac:dyDescent="0.45">
      <c r="A147" s="3"/>
      <c r="B147" s="2"/>
    </row>
    <row r="148" spans="1:2" x14ac:dyDescent="0.45">
      <c r="A148" s="3"/>
      <c r="B148" s="2"/>
    </row>
  </sheetData>
  <phoneticPr fontId="2" type="noConversion"/>
  <conditionalFormatting sqref="I25:I75">
    <cfRule type="cellIs" dxfId="15" priority="3" operator="lessThan">
      <formula>0</formula>
    </cfRule>
  </conditionalFormatting>
  <conditionalFormatting sqref="A25:L75">
    <cfRule type="expression" dxfId="0" priority="1">
      <formula>AND($A25&gt;100)</formula>
    </cfRule>
  </conditionalFormatting>
  <dataValidations count="1">
    <dataValidation type="list" allowBlank="1" showInputMessage="1" showErrorMessage="1" sqref="B12">
      <formula1>"規劃,模擬,執行"</formula1>
    </dataValidation>
  </dataValidations>
  <pageMargins left="0.7" right="0.7" top="0.75" bottom="0.75" header="0.3" footer="0.3"/>
  <pageSetup paperSize="9" orientation="portrait" r:id="rId1"/>
  <ignoredErrors>
    <ignoredError sqref="A25 C25:C75" calculatedColumn="1"/>
  </ignoredError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K13"/>
  <sheetViews>
    <sheetView workbookViewId="0">
      <selection activeCell="F4" sqref="F4"/>
    </sheetView>
  </sheetViews>
  <sheetFormatPr defaultRowHeight="16.75" x14ac:dyDescent="0.45"/>
  <sheetData>
    <row r="6" spans="1:11" x14ac:dyDescent="0.45">
      <c r="A6" s="3">
        <f>每月投入金額</f>
        <v>15369.140128074872</v>
      </c>
      <c r="B6" s="22">
        <v>0.01</v>
      </c>
      <c r="C6" s="23">
        <v>0.02</v>
      </c>
      <c r="D6" s="22">
        <v>0.03</v>
      </c>
      <c r="E6" s="23">
        <v>0.04</v>
      </c>
      <c r="F6" s="22">
        <v>0.05</v>
      </c>
      <c r="G6" s="23">
        <v>0.06</v>
      </c>
      <c r="H6" s="22">
        <v>7.0000000000000007E-2</v>
      </c>
      <c r="I6" s="23">
        <v>0.08</v>
      </c>
      <c r="J6" s="22">
        <v>0.09</v>
      </c>
      <c r="K6" s="23">
        <v>0.1</v>
      </c>
    </row>
    <row r="7" spans="1:11" x14ac:dyDescent="0.45">
      <c r="A7" s="3">
        <v>25</v>
      </c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x14ac:dyDescent="0.45">
      <c r="A8" s="3">
        <v>30</v>
      </c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x14ac:dyDescent="0.45">
      <c r="A9" s="3">
        <v>35</v>
      </c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x14ac:dyDescent="0.45">
      <c r="A10" s="3">
        <v>40</v>
      </c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 x14ac:dyDescent="0.45">
      <c r="A11" s="3">
        <v>45</v>
      </c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 x14ac:dyDescent="0.45">
      <c r="A12" s="3">
        <v>50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x14ac:dyDescent="0.45">
      <c r="A13" s="3">
        <v>55</v>
      </c>
      <c r="B13" s="2"/>
      <c r="C13" s="2"/>
      <c r="D13" s="2"/>
      <c r="E13" s="2"/>
      <c r="F13" s="2"/>
      <c r="G13" s="2"/>
      <c r="H13" s="2"/>
      <c r="I13" s="2"/>
      <c r="J13" s="2"/>
      <c r="K13" s="2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17</vt:i4>
      </vt:variant>
    </vt:vector>
  </HeadingPairs>
  <TitlesOfParts>
    <vt:vector size="19" baseType="lpstr">
      <vt:lpstr>變動年金</vt:lpstr>
      <vt:lpstr>工作表1</vt:lpstr>
      <vt:lpstr>目前年齡</vt:lpstr>
      <vt:lpstr>每月投入金額</vt:lpstr>
      <vt:lpstr>保證年金現值</vt:lpstr>
      <vt:lpstr>保證退休準備金</vt:lpstr>
      <vt:lpstr>保證部位報酬率</vt:lpstr>
      <vt:lpstr>退休年齡</vt:lpstr>
      <vt:lpstr>退休前報酬率</vt:lpstr>
      <vt:lpstr>退休時保證年金</vt:lpstr>
      <vt:lpstr>退休時變動年金</vt:lpstr>
      <vt:lpstr>退休準備合計</vt:lpstr>
      <vt:lpstr>現有退休準備金</vt:lpstr>
      <vt:lpstr>通貨膨脹率</vt:lpstr>
      <vt:lpstr>試算模式</vt:lpstr>
      <vt:lpstr>變動年金現值</vt:lpstr>
      <vt:lpstr>變動退休準備金</vt:lpstr>
      <vt:lpstr>變動部位報酬率</vt:lpstr>
      <vt:lpstr>變動部位標準差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</dc:creator>
  <cp:lastModifiedBy>Stanley</cp:lastModifiedBy>
  <dcterms:created xsi:type="dcterms:W3CDTF">2017-06-12T05:38:16Z</dcterms:created>
  <dcterms:modified xsi:type="dcterms:W3CDTF">2017-06-21T03:38:20Z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2e9fbc3e-7093-4c00-9b2d-5b43670b59ee</vt:lpwstr>
  </property>
</Properties>
</file>