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4376" windowHeight="7872"/>
  </bookViews>
  <sheets>
    <sheet name="租賃事業" sheetId="1" r:id="rId1"/>
    <sheet name="淨現值" sheetId="2" r:id="rId2"/>
  </sheets>
  <definedNames>
    <definedName name="solver_adj" localSheetId="0" hidden="1">租賃事業!$B$3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租賃事業!$B$13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年度管理費">租賃事業!$B$10</definedName>
    <definedName name="年租金收入">租賃事業!$B$11</definedName>
    <definedName name="年繳本息">租賃事業!$B$8</definedName>
    <definedName name="自備款">租賃事業!$B$5</definedName>
    <definedName name="投資報酬率">租賃事業!$B$13</definedName>
    <definedName name="折舊年限">租賃事業!$B$3</definedName>
    <definedName name="所得稅率">租賃事業!$B$12</definedName>
    <definedName name="淨現值">淨現值!$B$2</definedName>
    <definedName name="設備總價">租賃事業!$B$1</definedName>
    <definedName name="殘值">租賃事業!$B$4</definedName>
    <definedName name="評估年數">租賃事業!$B$2</definedName>
    <definedName name="貸款利率">租賃事業!$B$7</definedName>
    <definedName name="貸款金額">租賃事業!$B$6</definedName>
    <definedName name="資金成本">淨現值!$B$1</definedName>
    <definedName name="還款方式">租賃事業!$B$9</definedName>
  </definedNames>
  <calcPr calcId="125725"/>
</workbook>
</file>

<file path=xl/calcChain.xml><?xml version="1.0" encoding="utf-8"?>
<calcChain xmlns="http://schemas.openxmlformats.org/spreadsheetml/2006/main">
  <c r="K25" i="1"/>
  <c r="K26"/>
  <c r="K27"/>
  <c r="K28"/>
  <c r="K29"/>
  <c r="K30"/>
  <c r="K31"/>
  <c r="K32"/>
  <c r="K33"/>
  <c r="K34"/>
  <c r="K35"/>
  <c r="K36"/>
  <c r="A63" i="2"/>
  <c r="A64"/>
  <c r="A50"/>
  <c r="A51"/>
  <c r="A52" s="1"/>
  <c r="A53" s="1"/>
  <c r="A54" s="1"/>
  <c r="A55" s="1"/>
  <c r="A56" s="1"/>
  <c r="A57" s="1"/>
  <c r="A58" s="1"/>
  <c r="A59" s="1"/>
  <c r="A60" s="1"/>
  <c r="A61" s="1"/>
  <c r="A62" s="1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7"/>
  <c r="A17" i="1"/>
  <c r="E17" s="1"/>
  <c r="B6"/>
  <c r="B8" s="1"/>
  <c r="B16"/>
  <c r="L16" s="1"/>
  <c r="A18" l="1"/>
  <c r="D17"/>
  <c r="C17"/>
  <c r="F16"/>
  <c r="H17" s="1"/>
  <c r="G17" l="1"/>
  <c r="F17" s="1"/>
  <c r="I17"/>
  <c r="K17" s="1"/>
  <c r="A19"/>
  <c r="E18"/>
  <c r="C18"/>
  <c r="D18"/>
  <c r="J17" l="1"/>
  <c r="H18"/>
  <c r="G18" s="1"/>
  <c r="F18" s="1"/>
  <c r="H19" s="1"/>
  <c r="G19" s="1"/>
  <c r="F19" s="1"/>
  <c r="A20"/>
  <c r="D19"/>
  <c r="E19"/>
  <c r="C19"/>
  <c r="H20" l="1"/>
  <c r="G20" s="1"/>
  <c r="F20" s="1"/>
  <c r="I18"/>
  <c r="K18" s="1"/>
  <c r="I19"/>
  <c r="A21"/>
  <c r="E20"/>
  <c r="C20"/>
  <c r="D20"/>
  <c r="J18" l="1"/>
  <c r="J19" s="1"/>
  <c r="H21"/>
  <c r="I20"/>
  <c r="K20" s="1"/>
  <c r="A22"/>
  <c r="D21"/>
  <c r="E21"/>
  <c r="C21"/>
  <c r="K19" l="1"/>
  <c r="J20"/>
  <c r="G21"/>
  <c r="F21" s="1"/>
  <c r="I21"/>
  <c r="A23"/>
  <c r="E22"/>
  <c r="C22"/>
  <c r="D22"/>
  <c r="K21" l="1"/>
  <c r="J21"/>
  <c r="H22"/>
  <c r="G22" s="1"/>
  <c r="F22" s="1"/>
  <c r="H23" s="1"/>
  <c r="G23" s="1"/>
  <c r="A24"/>
  <c r="D23"/>
  <c r="E23"/>
  <c r="C23"/>
  <c r="I22" l="1"/>
  <c r="K22" s="1"/>
  <c r="F23"/>
  <c r="H24" s="1"/>
  <c r="G24" s="1"/>
  <c r="I23"/>
  <c r="A25"/>
  <c r="E24"/>
  <c r="C24"/>
  <c r="D24"/>
  <c r="J22" l="1"/>
  <c r="J23" s="1"/>
  <c r="F24"/>
  <c r="H25" s="1"/>
  <c r="G25" s="1"/>
  <c r="I24"/>
  <c r="K24" s="1"/>
  <c r="A26"/>
  <c r="D25"/>
  <c r="E25"/>
  <c r="C25"/>
  <c r="K23" l="1"/>
  <c r="J24"/>
  <c r="F25"/>
  <c r="H26" s="1"/>
  <c r="G26" s="1"/>
  <c r="I25"/>
  <c r="A27"/>
  <c r="E26"/>
  <c r="C26"/>
  <c r="D26"/>
  <c r="J27" l="1"/>
  <c r="J25"/>
  <c r="F26"/>
  <c r="H27"/>
  <c r="G27" s="1"/>
  <c r="F27" s="1"/>
  <c r="I26"/>
  <c r="A28"/>
  <c r="D27"/>
  <c r="E27"/>
  <c r="C27"/>
  <c r="J28" l="1"/>
  <c r="J26"/>
  <c r="H28"/>
  <c r="G28" s="1"/>
  <c r="I27"/>
  <c r="A29"/>
  <c r="E28"/>
  <c r="C28"/>
  <c r="D28"/>
  <c r="F28"/>
  <c r="J29" l="1"/>
  <c r="I28"/>
  <c r="A30"/>
  <c r="H29"/>
  <c r="D29"/>
  <c r="E29"/>
  <c r="C29"/>
  <c r="J30" l="1"/>
  <c r="G29"/>
  <c r="F29" s="1"/>
  <c r="H30" s="1"/>
  <c r="I29"/>
  <c r="A31"/>
  <c r="E30"/>
  <c r="C30"/>
  <c r="D30"/>
  <c r="J31" l="1"/>
  <c r="G30"/>
  <c r="F30" s="1"/>
  <c r="H31" s="1"/>
  <c r="I30"/>
  <c r="D31"/>
  <c r="A32"/>
  <c r="E31"/>
  <c r="C31"/>
  <c r="J32" l="1"/>
  <c r="G31"/>
  <c r="F31" s="1"/>
  <c r="H32" s="1"/>
  <c r="I31"/>
  <c r="C32"/>
  <c r="E32"/>
  <c r="D32"/>
  <c r="A33"/>
  <c r="J33" l="1"/>
  <c r="G32"/>
  <c r="F32" s="1"/>
  <c r="H33" s="1"/>
  <c r="I32"/>
  <c r="C33"/>
  <c r="E33"/>
  <c r="D33"/>
  <c r="A34"/>
  <c r="J34" l="1"/>
  <c r="G33"/>
  <c r="F33" s="1"/>
  <c r="H34" s="1"/>
  <c r="I33"/>
  <c r="C34"/>
  <c r="E34"/>
  <c r="D34"/>
  <c r="A35"/>
  <c r="J35" l="1"/>
  <c r="G34"/>
  <c r="F34" s="1"/>
  <c r="H35" s="1"/>
  <c r="I34"/>
  <c r="C35"/>
  <c r="E35"/>
  <c r="D35"/>
  <c r="A36"/>
  <c r="J36" l="1"/>
  <c r="G35"/>
  <c r="F35" s="1"/>
  <c r="H36" s="1"/>
  <c r="I35"/>
  <c r="C36"/>
  <c r="E36"/>
  <c r="D36"/>
  <c r="G36" l="1"/>
  <c r="F36" s="1"/>
  <c r="L31"/>
  <c r="I36"/>
  <c r="L18" l="1"/>
  <c r="L17"/>
  <c r="L19"/>
  <c r="L21"/>
  <c r="L22"/>
  <c r="L20"/>
  <c r="L23"/>
  <c r="L24"/>
  <c r="L26"/>
  <c r="L25"/>
  <c r="L27"/>
  <c r="L32"/>
  <c r="L30"/>
  <c r="L29"/>
  <c r="L28"/>
  <c r="L35"/>
  <c r="L34"/>
  <c r="L33"/>
  <c r="L36" l="1"/>
  <c r="B2" i="2" s="1"/>
  <c r="B5" s="1"/>
  <c r="B13" i="1" l="1"/>
</calcChain>
</file>

<file path=xl/sharedStrings.xml><?xml version="1.0" encoding="utf-8"?>
<sst xmlns="http://schemas.openxmlformats.org/spreadsheetml/2006/main" count="30" uniqueCount="30">
  <si>
    <t>年度</t>
    <phoneticPr fontId="3" type="noConversion"/>
  </si>
  <si>
    <t>資金投入</t>
    <phoneticPr fontId="3" type="noConversion"/>
  </si>
  <si>
    <t>租金收入</t>
    <phoneticPr fontId="3" type="noConversion"/>
  </si>
  <si>
    <t>貸款餘額</t>
    <phoneticPr fontId="3" type="noConversion"/>
  </si>
  <si>
    <t>本金</t>
    <phoneticPr fontId="3" type="noConversion"/>
  </si>
  <si>
    <t>利息</t>
    <phoneticPr fontId="3" type="noConversion"/>
  </si>
  <si>
    <t>現金流量</t>
    <phoneticPr fontId="3" type="noConversion"/>
  </si>
  <si>
    <t>殘值</t>
    <phoneticPr fontId="3" type="noConversion"/>
  </si>
  <si>
    <t>自備款</t>
    <phoneticPr fontId="3" type="noConversion"/>
  </si>
  <si>
    <t>貸款金額</t>
    <phoneticPr fontId="3" type="noConversion"/>
  </si>
  <si>
    <t>貸款利率</t>
    <phoneticPr fontId="3" type="noConversion"/>
  </si>
  <si>
    <t>年租金收入</t>
    <phoneticPr fontId="3" type="noConversion"/>
  </si>
  <si>
    <t>所得稅率</t>
    <phoneticPr fontId="3" type="noConversion"/>
  </si>
  <si>
    <t>折舊年限</t>
    <phoneticPr fontId="3" type="noConversion"/>
  </si>
  <si>
    <t>當期折舊</t>
    <phoneticPr fontId="3" type="noConversion"/>
  </si>
  <si>
    <t>年度管理費</t>
    <phoneticPr fontId="3" type="noConversion"/>
  </si>
  <si>
    <t>年繳本息</t>
    <phoneticPr fontId="3" type="noConversion"/>
  </si>
  <si>
    <t>投資報酬率</t>
    <phoneticPr fontId="3" type="noConversion"/>
  </si>
  <si>
    <t>管理費用</t>
    <phoneticPr fontId="3" type="noConversion"/>
  </si>
  <si>
    <t>稅前淨利</t>
    <phoneticPr fontId="3" type="noConversion"/>
  </si>
  <si>
    <t>稅後淨利</t>
    <phoneticPr fontId="3" type="noConversion"/>
  </si>
  <si>
    <t>還款方式</t>
    <phoneticPr fontId="3" type="noConversion"/>
  </si>
  <si>
    <t>本息平均</t>
  </si>
  <si>
    <t>設備總價</t>
    <phoneticPr fontId="3" type="noConversion"/>
  </si>
  <si>
    <t>資金成本</t>
  </si>
  <si>
    <t>資金成本</t>
    <phoneticPr fontId="3" type="noConversion"/>
  </si>
  <si>
    <t>淨現值</t>
  </si>
  <si>
    <t>淨現值</t>
    <phoneticPr fontId="3" type="noConversion"/>
  </si>
  <si>
    <t>評估年數</t>
    <phoneticPr fontId="3" type="noConversion"/>
  </si>
  <si>
    <t>累積虧損</t>
    <phoneticPr fontId="3" type="noConversion"/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</si>
</sst>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0.0%"/>
    <numFmt numFmtId="179" formatCode="0.000%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4" fillId="0" borderId="0" xfId="1" applyNumberFormat="1" applyFont="1">
      <alignment vertical="center"/>
    </xf>
    <xf numFmtId="177" fontId="4" fillId="0" borderId="0" xfId="1" applyNumberFormat="1" applyFont="1" applyBorder="1">
      <alignment vertical="center"/>
    </xf>
    <xf numFmtId="0" fontId="5" fillId="2" borderId="1" xfId="2" applyFont="1" applyBorder="1">
      <alignment vertical="center"/>
    </xf>
    <xf numFmtId="176" fontId="4" fillId="4" borderId="1" xfId="3" applyNumberFormat="1" applyFont="1" applyFill="1" applyBorder="1">
      <alignment vertical="center"/>
    </xf>
    <xf numFmtId="176" fontId="4" fillId="3" borderId="1" xfId="3" applyNumberFormat="1" applyFont="1" applyBorder="1">
      <alignment vertical="center"/>
    </xf>
    <xf numFmtId="9" fontId="4" fillId="4" borderId="1" xfId="3" applyNumberFormat="1" applyFont="1" applyFill="1" applyBorder="1">
      <alignment vertical="center"/>
    </xf>
    <xf numFmtId="10" fontId="4" fillId="3" borderId="1" xfId="3" applyNumberFormat="1" applyFont="1" applyBorder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8" fontId="0" fillId="0" borderId="0" xfId="0" applyNumberFormat="1">
      <alignment vertical="center"/>
    </xf>
  </cellXfs>
  <cellStyles count="4">
    <cellStyle name="20% - 輔色1" xfId="3" builtinId="30"/>
    <cellStyle name="一般" xfId="0" builtinId="0"/>
    <cellStyle name="千分位" xfId="1" builtinId="3"/>
    <cellStyle name="輔色1" xfId="2" builtinId="29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numFmt numFmtId="177" formatCode="#,##0_ ;[Red]\-#,##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0"/>
        <name val="微軟正黑體"/>
        <scheme val="none"/>
      </font>
      <alignment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34"/>
  <c:chart>
    <c:title>
      <c:layout>
        <c:manualLayout>
          <c:xMode val="edge"/>
          <c:yMode val="edge"/>
          <c:x val="0.41936111111111118"/>
          <c:y val="1.8518518518518528E-2"/>
        </c:manualLayout>
      </c:layout>
    </c:title>
    <c:plotArea>
      <c:layout>
        <c:manualLayout>
          <c:layoutTarget val="inner"/>
          <c:xMode val="edge"/>
          <c:yMode val="edge"/>
          <c:x val="0.18336351706036749"/>
          <c:y val="0.15984981044036181"/>
          <c:w val="0.75152537182852164"/>
          <c:h val="0.7887496354622342"/>
        </c:manualLayout>
      </c:layout>
      <c:scatterChart>
        <c:scatterStyle val="smoothMarker"/>
        <c:ser>
          <c:idx val="0"/>
          <c:order val="0"/>
          <c:tx>
            <c:strRef>
              <c:f>淨現值!$B$4</c:f>
              <c:strCache>
                <c:ptCount val="1"/>
                <c:pt idx="0">
                  <c:v>淨現值</c:v>
                </c:pt>
              </c:strCache>
            </c:strRef>
          </c:tx>
          <c:marker>
            <c:symbol val="none"/>
          </c:marker>
          <c:xVal>
            <c:numRef>
              <c:f>淨現值!$A$5:$A$64</c:f>
              <c:numCache>
                <c:formatCode>0.0%</c:formatCode>
                <c:ptCount val="5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3.0000000000000002E-2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4.9999999999999996E-2</c:v>
                </c:pt>
                <c:pt idx="9">
                  <c:v>5.4999999999999993E-2</c:v>
                </c:pt>
                <c:pt idx="10">
                  <c:v>5.9999999999999991E-2</c:v>
                </c:pt>
                <c:pt idx="11">
                  <c:v>6.4999999999999988E-2</c:v>
                </c:pt>
                <c:pt idx="12">
                  <c:v>6.9999999999999993E-2</c:v>
                </c:pt>
                <c:pt idx="13">
                  <c:v>7.4999999999999997E-2</c:v>
                </c:pt>
                <c:pt idx="14">
                  <c:v>0.08</c:v>
                </c:pt>
                <c:pt idx="15">
                  <c:v>8.5000000000000006E-2</c:v>
                </c:pt>
                <c:pt idx="16">
                  <c:v>9.0000000000000011E-2</c:v>
                </c:pt>
                <c:pt idx="17">
                  <c:v>9.5000000000000015E-2</c:v>
                </c:pt>
                <c:pt idx="18">
                  <c:v>0.10000000000000002</c:v>
                </c:pt>
                <c:pt idx="19">
                  <c:v>0.10500000000000002</c:v>
                </c:pt>
                <c:pt idx="20">
                  <c:v>0.11000000000000003</c:v>
                </c:pt>
                <c:pt idx="21">
                  <c:v>0.11500000000000003</c:v>
                </c:pt>
                <c:pt idx="22">
                  <c:v>0.12000000000000004</c:v>
                </c:pt>
                <c:pt idx="23">
                  <c:v>0.12500000000000003</c:v>
                </c:pt>
                <c:pt idx="24">
                  <c:v>0.13000000000000003</c:v>
                </c:pt>
                <c:pt idx="25">
                  <c:v>0.13500000000000004</c:v>
                </c:pt>
                <c:pt idx="26">
                  <c:v>0.14000000000000004</c:v>
                </c:pt>
                <c:pt idx="27">
                  <c:v>0.14500000000000005</c:v>
                </c:pt>
                <c:pt idx="28">
                  <c:v>0.15000000000000005</c:v>
                </c:pt>
                <c:pt idx="29">
                  <c:v>0.15500000000000005</c:v>
                </c:pt>
                <c:pt idx="30">
                  <c:v>0.16000000000000006</c:v>
                </c:pt>
                <c:pt idx="31">
                  <c:v>0.16500000000000006</c:v>
                </c:pt>
                <c:pt idx="32">
                  <c:v>0.17000000000000007</c:v>
                </c:pt>
                <c:pt idx="33">
                  <c:v>0.17500000000000007</c:v>
                </c:pt>
                <c:pt idx="34">
                  <c:v>0.18000000000000008</c:v>
                </c:pt>
                <c:pt idx="35">
                  <c:v>0.18500000000000008</c:v>
                </c:pt>
                <c:pt idx="36">
                  <c:v>0.19000000000000009</c:v>
                </c:pt>
                <c:pt idx="37">
                  <c:v>0.19500000000000009</c:v>
                </c:pt>
                <c:pt idx="38">
                  <c:v>0.20000000000000009</c:v>
                </c:pt>
                <c:pt idx="39">
                  <c:v>0.2050000000000001</c:v>
                </c:pt>
                <c:pt idx="40">
                  <c:v>0.2100000000000001</c:v>
                </c:pt>
                <c:pt idx="41">
                  <c:v>0.21500000000000011</c:v>
                </c:pt>
                <c:pt idx="42">
                  <c:v>0.22000000000000011</c:v>
                </c:pt>
                <c:pt idx="43">
                  <c:v>0.22500000000000012</c:v>
                </c:pt>
                <c:pt idx="44">
                  <c:v>0.23000000000000012</c:v>
                </c:pt>
                <c:pt idx="45">
                  <c:v>0.23500000000000013</c:v>
                </c:pt>
                <c:pt idx="46">
                  <c:v>0.24000000000000013</c:v>
                </c:pt>
                <c:pt idx="47">
                  <c:v>0.24500000000000013</c:v>
                </c:pt>
                <c:pt idx="48">
                  <c:v>0.25000000000000011</c:v>
                </c:pt>
                <c:pt idx="49">
                  <c:v>0.25500000000000012</c:v>
                </c:pt>
                <c:pt idx="50">
                  <c:v>0.26000000000000012</c:v>
                </c:pt>
                <c:pt idx="51">
                  <c:v>0.26500000000000012</c:v>
                </c:pt>
                <c:pt idx="52">
                  <c:v>0.27000000000000013</c:v>
                </c:pt>
                <c:pt idx="53">
                  <c:v>0.27500000000000013</c:v>
                </c:pt>
                <c:pt idx="54">
                  <c:v>0.28000000000000014</c:v>
                </c:pt>
                <c:pt idx="55">
                  <c:v>0.28500000000000014</c:v>
                </c:pt>
                <c:pt idx="56">
                  <c:v>0.29000000000000015</c:v>
                </c:pt>
                <c:pt idx="57">
                  <c:v>0.29500000000000015</c:v>
                </c:pt>
                <c:pt idx="58">
                  <c:v>0.30000000000000016</c:v>
                </c:pt>
              </c:numCache>
            </c:numRef>
          </c:xVal>
          <c:yVal>
            <c:numRef>
              <c:f>淨現值!$B$5:$B$64</c:f>
              <c:numCache>
                <c:formatCode>#,##0_ ;[Red]\-#,##0\ </c:formatCode>
                <c:ptCount val="59"/>
                <c:pt idx="0">
                  <c:v>394292.80069616856</c:v>
                </c:pt>
                <c:pt idx="1">
                  <c:v>377766.07325311296</c:v>
                </c:pt>
                <c:pt idx="2">
                  <c:v>361764.78974735527</c:v>
                </c:pt>
                <c:pt idx="3">
                  <c:v>346268.07753261412</c:v>
                </c:pt>
                <c:pt idx="4">
                  <c:v>331256.0299752776</c:v>
                </c:pt>
                <c:pt idx="5">
                  <c:v>316709.65612565377</c:v>
                </c:pt>
                <c:pt idx="6">
                  <c:v>302610.83328165428</c:v>
                </c:pt>
                <c:pt idx="7">
                  <c:v>288942.26226400957</c:v>
                </c:pt>
                <c:pt idx="8">
                  <c:v>275687.42523427855</c:v>
                </c:pt>
                <c:pt idx="9">
                  <c:v>262830.54589826672</c:v>
                </c:pt>
                <c:pt idx="10">
                  <c:v>250356.55194793863</c:v>
                </c:pt>
                <c:pt idx="11">
                  <c:v>238251.0396046947</c:v>
                </c:pt>
                <c:pt idx="12">
                  <c:v>226500.2401359193</c:v>
                </c:pt>
                <c:pt idx="13">
                  <c:v>215090.9882251526</c:v>
                </c:pt>
                <c:pt idx="14">
                  <c:v>204010.69208403572</c:v>
                </c:pt>
                <c:pt idx="15">
                  <c:v>193247.30520149344</c:v>
                </c:pt>
                <c:pt idx="16">
                  <c:v>182789.29963235895</c:v>
                </c:pt>
                <c:pt idx="17">
                  <c:v>172625.64073397266</c:v>
                </c:pt>
                <c:pt idx="18">
                  <c:v>162745.76326513593</c:v>
                </c:pt>
                <c:pt idx="19">
                  <c:v>153139.54876728007</c:v>
                </c:pt>
                <c:pt idx="20">
                  <c:v>143797.3041527879</c:v>
                </c:pt>
                <c:pt idx="21">
                  <c:v>134709.74143016327</c:v>
                </c:pt>
                <c:pt idx="22">
                  <c:v>125867.95850015269</c:v>
                </c:pt>
                <c:pt idx="23">
                  <c:v>117263.42096106405</c:v>
                </c:pt>
                <c:pt idx="24">
                  <c:v>108887.94486535713</c:v>
                </c:pt>
                <c:pt idx="25">
                  <c:v>100733.68037319178</c:v>
                </c:pt>
                <c:pt idx="26">
                  <c:v>92793.096251951531</c:v>
                </c:pt>
                <c:pt idx="27">
                  <c:v>85058.965173913748</c:v>
                </c:pt>
                <c:pt idx="28">
                  <c:v>77524.349767135165</c:v>
                </c:pt>
                <c:pt idx="29">
                  <c:v>70182.589377384749</c:v>
                </c:pt>
                <c:pt idx="30">
                  <c:v>63027.287501480023</c:v>
                </c:pt>
                <c:pt idx="31">
                  <c:v>56052.299854798999</c:v>
                </c:pt>
                <c:pt idx="32">
                  <c:v>49251.723037949298</c:v>
                </c:pt>
                <c:pt idx="33">
                  <c:v>42619.883769691398</c:v>
                </c:pt>
                <c:pt idx="34">
                  <c:v>36151.328655143327</c:v>
                </c:pt>
                <c:pt idx="35">
                  <c:v>29840.81446015049</c:v>
                </c:pt>
                <c:pt idx="36">
                  <c:v>23683.298864398617</c:v>
                </c:pt>
                <c:pt idx="37">
                  <c:v>17673.931667473575</c:v>
                </c:pt>
                <c:pt idx="38">
                  <c:v>11808.04642355832</c:v>
                </c:pt>
                <c:pt idx="39">
                  <c:v>6081.1524818906328</c:v>
                </c:pt>
                <c:pt idx="40">
                  <c:v>488.92741140438011</c:v>
                </c:pt>
                <c:pt idx="41">
                  <c:v>-4972.7902107562404</c:v>
                </c:pt>
                <c:pt idx="42">
                  <c:v>-10308.007666019723</c:v>
                </c:pt>
                <c:pt idx="43">
                  <c:v>-15520.584634522325</c:v>
                </c:pt>
                <c:pt idx="44">
                  <c:v>-20614.23942564585</c:v>
                </c:pt>
                <c:pt idx="45">
                  <c:v>-25592.554915023327</c:v>
                </c:pt>
                <c:pt idx="46">
                  <c:v>-30458.984203194268</c:v>
                </c:pt>
                <c:pt idx="47">
                  <c:v>-35216.856010223157</c:v>
                </c:pt>
                <c:pt idx="48">
                  <c:v>-39869.379819807888</c:v>
                </c:pt>
                <c:pt idx="49">
                  <c:v>-44419.650785648671</c:v>
                </c:pt>
                <c:pt idx="50">
                  <c:v>-48870.654412140197</c:v>
                </c:pt>
                <c:pt idx="51">
                  <c:v>-53225.271020792599</c:v>
                </c:pt>
                <c:pt idx="52">
                  <c:v>-57486.280013152689</c:v>
                </c:pt>
                <c:pt idx="53">
                  <c:v>-61656.363940416544</c:v>
                </c:pt>
                <c:pt idx="54">
                  <c:v>-65738.112389364454</c:v>
                </c:pt>
                <c:pt idx="55">
                  <c:v>-69734.025693736272</c:v>
                </c:pt>
                <c:pt idx="56">
                  <c:v>-73646.518479665392</c:v>
                </c:pt>
                <c:pt idx="57">
                  <c:v>-77477.923053332022</c:v>
                </c:pt>
                <c:pt idx="58">
                  <c:v>-81230.492638560012</c:v>
                </c:pt>
              </c:numCache>
            </c:numRef>
          </c:yVal>
          <c:smooth val="1"/>
        </c:ser>
        <c:axId val="223752192"/>
        <c:axId val="223753728"/>
      </c:scatterChart>
      <c:valAx>
        <c:axId val="223752192"/>
        <c:scaling>
          <c:orientation val="minMax"/>
        </c:scaling>
        <c:axPos val="b"/>
        <c:numFmt formatCode="0.0%" sourceLinked="1"/>
        <c:tickLblPos val="nextTo"/>
        <c:crossAx val="223753728"/>
        <c:crosses val="autoZero"/>
        <c:crossBetween val="midCat"/>
      </c:valAx>
      <c:valAx>
        <c:axId val="223753728"/>
        <c:scaling>
          <c:orientation val="minMax"/>
        </c:scaling>
        <c:axPos val="l"/>
        <c:majorGridlines/>
        <c:numFmt formatCode="#,##0_ ;[Red]\-#,##0\ " sourceLinked="1"/>
        <c:tickLblPos val="nextTo"/>
        <c:crossAx val="22375219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114300</xdr:rowOff>
    </xdr:from>
    <xdr:to>
      <xdr:col>11</xdr:col>
      <xdr:colOff>481853</xdr:colOff>
      <xdr:row>5</xdr:row>
      <xdr:rowOff>15240</xdr:rowOff>
    </xdr:to>
    <xdr:pic>
      <xdr:nvPicPr>
        <xdr:cNvPr id="10" name="圖片 9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44740" y="114300"/>
          <a:ext cx="2179320" cy="929640"/>
        </a:xfrm>
        <a:prstGeom prst="rect">
          <a:avLst/>
        </a:prstGeom>
      </xdr:spPr>
    </xdr:pic>
    <xdr:clientData/>
  </xdr:twoCellAnchor>
  <xdr:twoCellAnchor>
    <xdr:from>
      <xdr:col>3</xdr:col>
      <xdr:colOff>8965</xdr:colOff>
      <xdr:row>0</xdr:row>
      <xdr:rowOff>72166</xdr:rowOff>
    </xdr:from>
    <xdr:to>
      <xdr:col>8</xdr:col>
      <xdr:colOff>579569</xdr:colOff>
      <xdr:row>12</xdr:row>
      <xdr:rowOff>64546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現金流量表" displayName="現金流量表" ref="A15:L36" headerRowDxfId="26" dataDxfId="25" totalsRowDxfId="24">
  <tableColumns count="12">
    <tableColumn id="1" name="年度" dataDxfId="23" totalsRowDxfId="22"/>
    <tableColumn id="2" name="資金投入" dataDxfId="21" totalsRowDxfId="20" dataCellStyle="千分位"/>
    <tableColumn id="3" name="租金收入" totalsRowFunction="sum" dataDxfId="19" totalsRowDxfId="18"/>
    <tableColumn id="4" name="當期折舊" totalsRowFunction="sum" dataDxfId="17" totalsRowDxfId="16"/>
    <tableColumn id="11" name="管理費用" dataDxfId="15" totalsRowDxfId="14" dataCellStyle="千分位"/>
    <tableColumn id="5" name="貸款餘額" dataDxfId="13" totalsRowDxfId="12"/>
    <tableColumn id="6" name="本金" totalsRowFunction="sum" dataDxfId="11" totalsRowDxfId="10"/>
    <tableColumn id="7" name="利息" totalsRowFunction="sum" dataDxfId="9" totalsRowDxfId="8"/>
    <tableColumn id="12" name="稅前淨利" dataDxfId="7" totalsRowDxfId="6" dataCellStyle="千分位"/>
    <tableColumn id="9" name="累積虧損" dataDxfId="5" totalsRowDxfId="4" dataCellStyle="千分位"/>
    <tableColumn id="14" name="稅後淨利" dataDxfId="3" totalsRowDxfId="2" dataCellStyle="千分位"/>
    <tableColumn id="8" name="現金流量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85" zoomScaleNormal="85" workbookViewId="0">
      <selection activeCell="B10" sqref="B10"/>
    </sheetView>
  </sheetViews>
  <sheetFormatPr defaultRowHeight="16.2"/>
  <cols>
    <col min="1" max="1" width="15.33203125" bestFit="1" customWidth="1"/>
    <col min="2" max="2" width="14.5546875" bestFit="1" customWidth="1"/>
    <col min="3" max="3" width="11.77734375" customWidth="1"/>
    <col min="4" max="4" width="10.6640625" bestFit="1" customWidth="1"/>
    <col min="5" max="5" width="10.6640625" customWidth="1"/>
    <col min="6" max="6" width="12.77734375" bestFit="1" customWidth="1"/>
    <col min="7" max="8" width="10.6640625" bestFit="1" customWidth="1"/>
    <col min="9" max="9" width="12.21875" bestFit="1" customWidth="1"/>
    <col min="10" max="10" width="12.21875" customWidth="1"/>
    <col min="11" max="11" width="12" customWidth="1"/>
    <col min="12" max="12" width="13.88671875" bestFit="1" customWidth="1"/>
  </cols>
  <sheetData>
    <row r="1" spans="1:12">
      <c r="A1" s="6" t="s">
        <v>23</v>
      </c>
      <c r="B1" s="7">
        <v>1000000</v>
      </c>
      <c r="H1" s="15"/>
      <c r="I1" s="16"/>
      <c r="J1" s="15"/>
    </row>
    <row r="2" spans="1:12">
      <c r="A2" s="6" t="s">
        <v>28</v>
      </c>
      <c r="B2" s="7">
        <v>8</v>
      </c>
      <c r="I2" s="1"/>
      <c r="J2" s="1"/>
    </row>
    <row r="3" spans="1:12">
      <c r="A3" s="6" t="s">
        <v>13</v>
      </c>
      <c r="B3" s="7">
        <v>5</v>
      </c>
      <c r="H3" s="11"/>
      <c r="I3" s="14"/>
      <c r="J3" s="14"/>
    </row>
    <row r="4" spans="1:12">
      <c r="A4" s="6" t="s">
        <v>7</v>
      </c>
      <c r="B4" s="7">
        <v>100000</v>
      </c>
      <c r="H4" s="13"/>
      <c r="I4" s="14"/>
      <c r="J4" s="14"/>
    </row>
    <row r="5" spans="1:12">
      <c r="A5" s="6" t="s">
        <v>8</v>
      </c>
      <c r="B5" s="7">
        <v>400000</v>
      </c>
      <c r="H5" s="13"/>
      <c r="I5" s="14"/>
      <c r="J5" s="14"/>
    </row>
    <row r="6" spans="1:12">
      <c r="A6" s="6" t="s">
        <v>9</v>
      </c>
      <c r="B6" s="8">
        <f>設備總價-自備款</f>
        <v>600000</v>
      </c>
      <c r="H6" s="13"/>
      <c r="I6" s="14"/>
      <c r="J6" s="14"/>
    </row>
    <row r="7" spans="1:12">
      <c r="A7" s="6" t="s">
        <v>10</v>
      </c>
      <c r="B7" s="9">
        <v>0.06</v>
      </c>
      <c r="D7" s="1"/>
      <c r="E7" s="1"/>
      <c r="H7" s="13"/>
      <c r="I7" s="14"/>
      <c r="J7" s="14"/>
    </row>
    <row r="8" spans="1:12">
      <c r="A8" s="6" t="s">
        <v>16</v>
      </c>
      <c r="B8" s="8">
        <f>PMT(貸款利率,評估年數,-貸款金額)</f>
        <v>96621.565588877362</v>
      </c>
      <c r="H8" s="13"/>
      <c r="I8" s="14"/>
      <c r="J8" s="14"/>
    </row>
    <row r="9" spans="1:12">
      <c r="A9" s="6" t="s">
        <v>21</v>
      </c>
      <c r="B9" s="7" t="s">
        <v>22</v>
      </c>
      <c r="H9" s="13"/>
      <c r="I9" s="14"/>
      <c r="J9" s="14"/>
    </row>
    <row r="10" spans="1:12">
      <c r="A10" s="6" t="s">
        <v>15</v>
      </c>
      <c r="B10" s="7">
        <v>20000</v>
      </c>
      <c r="H10" s="13"/>
      <c r="I10" s="14"/>
      <c r="J10" s="14"/>
    </row>
    <row r="11" spans="1:12">
      <c r="A11" s="6" t="s">
        <v>11</v>
      </c>
      <c r="B11" s="7">
        <v>200000</v>
      </c>
      <c r="H11" s="13"/>
      <c r="I11" s="14"/>
      <c r="J11" s="14"/>
    </row>
    <row r="12" spans="1:12">
      <c r="A12" s="6" t="s">
        <v>12</v>
      </c>
      <c r="B12" s="9">
        <v>0.17</v>
      </c>
      <c r="H12" s="13"/>
      <c r="I12" s="14"/>
      <c r="J12" s="14"/>
    </row>
    <row r="13" spans="1:12">
      <c r="A13" s="6" t="s">
        <v>17</v>
      </c>
      <c r="B13" s="10">
        <f>IRR(現金流量表[現金流量])</f>
        <v>0.21044282751563456</v>
      </c>
      <c r="H13" s="13"/>
      <c r="I13" s="14"/>
      <c r="J13" s="14"/>
    </row>
    <row r="15" spans="1:12">
      <c r="A15" s="2" t="s">
        <v>0</v>
      </c>
      <c r="B15" s="2" t="s">
        <v>1</v>
      </c>
      <c r="C15" s="2" t="s">
        <v>2</v>
      </c>
      <c r="D15" s="2" t="s">
        <v>14</v>
      </c>
      <c r="E15" s="2" t="s">
        <v>18</v>
      </c>
      <c r="F15" s="2" t="s">
        <v>3</v>
      </c>
      <c r="G15" s="2" t="s">
        <v>4</v>
      </c>
      <c r="H15" s="2" t="s">
        <v>5</v>
      </c>
      <c r="I15" s="2" t="s">
        <v>19</v>
      </c>
      <c r="J15" s="2" t="s">
        <v>29</v>
      </c>
      <c r="K15" s="2" t="s">
        <v>20</v>
      </c>
      <c r="L15" s="2" t="s">
        <v>6</v>
      </c>
    </row>
    <row r="16" spans="1:12">
      <c r="A16" s="2">
        <v>0</v>
      </c>
      <c r="B16" s="4">
        <f>自備款</f>
        <v>400000</v>
      </c>
      <c r="C16" s="3"/>
      <c r="D16" s="3"/>
      <c r="E16" s="3"/>
      <c r="F16" s="4">
        <f>貸款金額</f>
        <v>600000</v>
      </c>
      <c r="G16" s="4"/>
      <c r="H16" s="4"/>
      <c r="I16" s="4"/>
      <c r="J16" s="4"/>
      <c r="K16" s="3"/>
      <c r="L16" s="4">
        <f>-現金流量表[[#This Row],[資金投入]]</f>
        <v>-400000</v>
      </c>
    </row>
    <row r="17" spans="1:12">
      <c r="A17" s="17">
        <f t="shared" ref="A17:A36" si="0">IF(A16&lt;評估年數,A16+1,"")</f>
        <v>1</v>
      </c>
      <c r="B17" s="5"/>
      <c r="C17" s="4">
        <f>IF([年度]="","",IF([年度]&lt;評估年數,年租金收入,年租金收入+殘值))</f>
        <v>200000</v>
      </c>
      <c r="D17" s="4">
        <f>IF([年度]="","",IF([年度]&lt;=折舊年限,SLN(設備總價,殘值,折舊年限),0))</f>
        <v>180000</v>
      </c>
      <c r="E17" s="4">
        <f>IF([年度]="","",年度管理費)</f>
        <v>20000</v>
      </c>
      <c r="F17" s="4">
        <f>IF([年度]="","",F16-[本金])</f>
        <v>539378.4344111227</v>
      </c>
      <c r="G17" s="4">
        <f>IF([年度]="","",IF(還款方式="本息平均",年繳本息-[利息],IF(現金流量表[[#This Row],[年度]]=評估年數,貸款金額,0)))</f>
        <v>60621.565588877362</v>
      </c>
      <c r="H17" s="4">
        <f>IF([年度]="","",F16*貸款利率)</f>
        <v>36000</v>
      </c>
      <c r="I17" s="4">
        <f>IF([年度]="","",[租金收入]-[當期折舊]-[管理費用]-[利息])</f>
        <v>-36000</v>
      </c>
      <c r="J17" s="4">
        <f>IF([年度]="","",MIN(0, J16+現金流量表[[#This Row],[稅前淨利]]))</f>
        <v>-36000</v>
      </c>
      <c r="K17" s="4">
        <f>IF([年度]="","", MAX(0,IF(([稅前淨利]+J16)&gt;=0, 現金流量表[[#This Row],[稅前淨利]]-(現金流量表[[#This Row],[稅前淨利]]+J16)*所得稅率, 現金流量表[[#This Row],[稅前淨利]])))</f>
        <v>0</v>
      </c>
      <c r="L17" s="4">
        <f>IF([年度]="","",[稅後淨利]+[當期折舊]-[本金])</f>
        <v>119378.43441112264</v>
      </c>
    </row>
    <row r="18" spans="1:12">
      <c r="A18" s="17">
        <f t="shared" si="0"/>
        <v>2</v>
      </c>
      <c r="B18" s="4"/>
      <c r="C18" s="4">
        <f>IF([年度]="","",IF([年度]&lt;評估年數,年租金收入,年租金收入+殘值))</f>
        <v>200000</v>
      </c>
      <c r="D18" s="4">
        <f>IF([年度]="","",IF([年度]&lt;=折舊年限,SLN(設備總價,殘值,折舊年限),0))</f>
        <v>180000</v>
      </c>
      <c r="E18" s="4">
        <f>IF([年度]="","",年度管理費)</f>
        <v>20000</v>
      </c>
      <c r="F18" s="4">
        <f>IF([年度]="","",F17-[本金])</f>
        <v>475119.57488691271</v>
      </c>
      <c r="G18" s="4">
        <f>IF([年度]="","",IF(還款方式="本息平均",年繳本息-[利息],IF(現金流量表[[#This Row],[年度]]=評估年數,貸款金額,0)))</f>
        <v>64258.859524209998</v>
      </c>
      <c r="H18" s="4">
        <f>IF([年度]="","",F17*貸款利率)</f>
        <v>32362.70606466736</v>
      </c>
      <c r="I18" s="4">
        <f>IF([年度]="","",[租金收入]-[當期折舊]-[管理費用]-[利息])</f>
        <v>-32362.70606466736</v>
      </c>
      <c r="J18" s="4">
        <f>IF([年度]="","",MIN(0, J17+現金流量表[[#This Row],[稅前淨利]]))</f>
        <v>-68362.706064667364</v>
      </c>
      <c r="K18" s="4">
        <f>IF([年度]="","", MAX(0,IF(([稅前淨利]+J17)&gt;=0, 現金流量表[[#This Row],[稅前淨利]]-(現金流量表[[#This Row],[稅前淨利]]+J17)*所得稅率, 現金流量表[[#This Row],[稅前淨利]])))</f>
        <v>0</v>
      </c>
      <c r="L18" s="4">
        <f>IF([年度]="","",[稅後淨利]+[當期折舊]-[本金])</f>
        <v>115741.14047579</v>
      </c>
    </row>
    <row r="19" spans="1:12">
      <c r="A19" s="17">
        <f t="shared" si="0"/>
        <v>3</v>
      </c>
      <c r="B19" s="4"/>
      <c r="C19" s="4">
        <f>IF([年度]="","",IF([年度]&lt;評估年數,年租金收入,年租金收入+殘值))</f>
        <v>200000</v>
      </c>
      <c r="D19" s="4">
        <f>IF([年度]="","",IF([年度]&lt;=折舊年限,SLN(設備總價,殘值,折舊年限),0))</f>
        <v>180000</v>
      </c>
      <c r="E19" s="4">
        <f>IF([年度]="","",年度管理費)</f>
        <v>20000</v>
      </c>
      <c r="F19" s="4">
        <f>IF([年度]="","",F18-[本金])</f>
        <v>407005.18379125011</v>
      </c>
      <c r="G19" s="4">
        <f>IF([年度]="","",IF(還款方式="本息平均",年繳本息-[利息],IF(現金流量表[[#This Row],[年度]]=評估年數,貸款金額,0)))</f>
        <v>68114.391095662606</v>
      </c>
      <c r="H19" s="4">
        <f>IF([年度]="","",F18*貸款利率)</f>
        <v>28507.174493214763</v>
      </c>
      <c r="I19" s="4">
        <f>IF([年度]="","",[租金收入]-[當期折舊]-[管理費用]-[利息])</f>
        <v>-28507.174493214763</v>
      </c>
      <c r="J19" s="4">
        <f>IF([年度]="","",MIN(0, J18+現金流量表[[#This Row],[稅前淨利]]))</f>
        <v>-96869.880557882134</v>
      </c>
      <c r="K19" s="4">
        <f>IF([年度]="","", MAX(0,IF(([稅前淨利]+J18)&gt;=0, 現金流量表[[#This Row],[稅前淨利]]-(現金流量表[[#This Row],[稅前淨利]]+J18)*所得稅率, 現金流量表[[#This Row],[稅前淨利]])))</f>
        <v>0</v>
      </c>
      <c r="L19" s="4">
        <f>IF([年度]="","",[稅後淨利]+[當期折舊]-[本金])</f>
        <v>111885.60890433739</v>
      </c>
    </row>
    <row r="20" spans="1:12">
      <c r="A20" s="17">
        <f t="shared" si="0"/>
        <v>4</v>
      </c>
      <c r="B20" s="4"/>
      <c r="C20" s="4">
        <f>IF([年度]="","",IF([年度]&lt;評估年數,年租金收入,年租金收入+殘值))</f>
        <v>200000</v>
      </c>
      <c r="D20" s="4">
        <f>IF([年度]="","",IF([年度]&lt;=折舊年限,SLN(設備總價,殘值,折舊年限),0))</f>
        <v>180000</v>
      </c>
      <c r="E20" s="4">
        <f>IF([年度]="","",年度管理費)</f>
        <v>20000</v>
      </c>
      <c r="F20" s="4">
        <f>IF([年度]="","",F19-[本金])</f>
        <v>334803.92922984774</v>
      </c>
      <c r="G20" s="4">
        <f>IF([年度]="","",IF(還款方式="本息平均",年繳本息-[利息],IF(現金流量表[[#This Row],[年度]]=評估年數,貸款金額,0)))</f>
        <v>72201.254561402355</v>
      </c>
      <c r="H20" s="4">
        <f>IF([年度]="","",F19*貸款利率)</f>
        <v>24420.311027475007</v>
      </c>
      <c r="I20" s="4">
        <f>IF([年度]="","",[租金收入]-[當期折舊]-[管理費用]-[利息])</f>
        <v>-24420.311027475007</v>
      </c>
      <c r="J20" s="4">
        <f>IF([年度]="","",MIN(0, J19+現金流量表[[#This Row],[稅前淨利]]))</f>
        <v>-121290.19158535714</v>
      </c>
      <c r="K20" s="4">
        <f>IF([年度]="","", MAX(0,IF(([稅前淨利]+J19)&gt;=0, 現金流量表[[#This Row],[稅前淨利]]-(現金流量表[[#This Row],[稅前淨利]]+J19)*所得稅率, 現金流量表[[#This Row],[稅前淨利]])))</f>
        <v>0</v>
      </c>
      <c r="L20" s="4">
        <f>IF([年度]="","",[稅後淨利]+[當期折舊]-[本金])</f>
        <v>107798.74543859765</v>
      </c>
    </row>
    <row r="21" spans="1:12">
      <c r="A21" s="17">
        <f t="shared" si="0"/>
        <v>5</v>
      </c>
      <c r="B21" s="5"/>
      <c r="C21" s="4">
        <f>IF([年度]="","",IF([年度]&lt;評估年數,年租金收入,年租金收入+殘值))</f>
        <v>200000</v>
      </c>
      <c r="D21" s="4">
        <f>IF([年度]="","",IF([年度]&lt;=折舊年限,SLN(設備總價,殘值,折舊年限),0))</f>
        <v>180000</v>
      </c>
      <c r="E21" s="4">
        <f>IF([年度]="","",年度管理費)</f>
        <v>20000</v>
      </c>
      <c r="F21" s="4">
        <f>IF([年度]="","",F20-[本金])</f>
        <v>258270.59939476126</v>
      </c>
      <c r="G21" s="4">
        <f>IF([年度]="","",IF(還款方式="本息平均",年繳本息-[利息],IF(現金流量表[[#This Row],[年度]]=評估年數,貸款金額,0)))</f>
        <v>76533.329835086493</v>
      </c>
      <c r="H21" s="4">
        <f>IF([年度]="","",F20*貸款利率)</f>
        <v>20088.235753790865</v>
      </c>
      <c r="I21" s="4">
        <f>IF([年度]="","",[租金收入]-[當期折舊]-[管理費用]-[利息])</f>
        <v>-20088.235753790865</v>
      </c>
      <c r="J21" s="4">
        <f>IF([年度]="","",MIN(0, J20+現金流量表[[#This Row],[稅前淨利]]))</f>
        <v>-141378.42733914801</v>
      </c>
      <c r="K21" s="4">
        <f>IF([年度]="","", MAX(0,IF(([稅前淨利]+J20)&gt;=0, 現金流量表[[#This Row],[稅前淨利]]-(現金流量表[[#This Row],[稅前淨利]]+J20)*所得稅率, 現金流量表[[#This Row],[稅前淨利]])))</f>
        <v>0</v>
      </c>
      <c r="L21" s="4">
        <f>IF([年度]="","",[稅後淨利]+[當期折舊]-[本金])</f>
        <v>103466.67016491351</v>
      </c>
    </row>
    <row r="22" spans="1:12">
      <c r="A22" s="17">
        <f t="shared" si="0"/>
        <v>6</v>
      </c>
      <c r="B22" s="5"/>
      <c r="C22" s="4">
        <f>IF([年度]="","",IF([年度]&lt;評估年數,年租金收入,年租金收入+殘值))</f>
        <v>200000</v>
      </c>
      <c r="D22" s="4">
        <f>IF([年度]="","",IF([年度]&lt;=折舊年限,SLN(設備總價,殘值,折舊年限),0))</f>
        <v>0</v>
      </c>
      <c r="E22" s="4">
        <f>IF([年度]="","",年度管理費)</f>
        <v>20000</v>
      </c>
      <c r="F22" s="4">
        <f>IF([年度]="","",F21-[本金])</f>
        <v>177145.26976956957</v>
      </c>
      <c r="G22" s="4">
        <f>IF([年度]="","",IF(還款方式="本息平均",年繳本息-[利息],IF(現金流量表[[#This Row],[年度]]=評估年數,貸款金額,0)))</f>
        <v>81125.329625191691</v>
      </c>
      <c r="H22" s="4">
        <f>IF([年度]="","",F21*貸款利率)</f>
        <v>15496.235963685675</v>
      </c>
      <c r="I22" s="4">
        <f>IF([年度]="","",[租金收入]-[當期折舊]-[管理費用]-[利息])</f>
        <v>164503.76403631433</v>
      </c>
      <c r="J22" s="4">
        <f>IF([年度]="","",MIN(0, J21+現金流量表[[#This Row],[稅前淨利]]))</f>
        <v>0</v>
      </c>
      <c r="K22" s="4">
        <f>IF([年度]="","", MAX(0,IF(([稅前淨利]+J21)&gt;=0, 現金流量表[[#This Row],[稅前淨利]]-(現金流量表[[#This Row],[稅前淨利]]+J21)*所得稅率, 現金流量表[[#This Row],[稅前淨利]])))</f>
        <v>160572.45679779607</v>
      </c>
      <c r="L22" s="4">
        <f>IF([年度]="","",[稅後淨利]+[當期折舊]-[本金])</f>
        <v>79447.127172604378</v>
      </c>
    </row>
    <row r="23" spans="1:12">
      <c r="A23" s="17">
        <f t="shared" si="0"/>
        <v>7</v>
      </c>
      <c r="B23" s="5"/>
      <c r="C23" s="4">
        <f>IF([年度]="","",IF([年度]&lt;評估年數,年租金收入,年租金收入+殘值))</f>
        <v>200000</v>
      </c>
      <c r="D23" s="4">
        <f>IF([年度]="","",IF([年度]&lt;=折舊年限,SLN(設備總價,殘值,折舊年限),0))</f>
        <v>0</v>
      </c>
      <c r="E23" s="4">
        <f>IF([年度]="","",年度管理費)</f>
        <v>20000</v>
      </c>
      <c r="F23" s="4">
        <f>IF([年度]="","",F22-[本金])</f>
        <v>91152.420366866383</v>
      </c>
      <c r="G23" s="4">
        <f>IF([年度]="","",IF(還款方式="本息平均",年繳本息-[利息],IF(現金流量表[[#This Row],[年度]]=評估年數,貸款金額,0)))</f>
        <v>85992.849402703185</v>
      </c>
      <c r="H23" s="4">
        <f>IF([年度]="","",F22*貸款利率)</f>
        <v>10628.716186174173</v>
      </c>
      <c r="I23" s="4">
        <f>IF([年度]="","",[租金收入]-[當期折舊]-[管理費用]-[利息])</f>
        <v>169371.28381382584</v>
      </c>
      <c r="J23" s="4">
        <f>IF([年度]="","",MIN(0, J22+現金流量表[[#This Row],[稅前淨利]]))</f>
        <v>0</v>
      </c>
      <c r="K23" s="4">
        <f>IF([年度]="","", MAX(0,IF(([稅前淨利]+J22)&gt;=0, 現金流量表[[#This Row],[稅前淨利]]-(現金流量表[[#This Row],[稅前淨利]]+J22)*所得稅率, 現金流量表[[#This Row],[稅前淨利]])))</f>
        <v>140578.16556547544</v>
      </c>
      <c r="L23" s="4">
        <f>IF([年度]="","",[稅後淨利]+[當期折舊]-[本金])</f>
        <v>54585.316162772258</v>
      </c>
    </row>
    <row r="24" spans="1:12">
      <c r="A24" s="17">
        <f t="shared" si="0"/>
        <v>8</v>
      </c>
      <c r="B24" s="5"/>
      <c r="C24" s="4">
        <f>IF([年度]="","",IF([年度]&lt;評估年數,年租金收入,年租金收入+殘值))</f>
        <v>300000</v>
      </c>
      <c r="D24" s="4">
        <f>IF([年度]="","",IF([年度]&lt;=折舊年限,SLN(設備總價,殘值,折舊年限),0))</f>
        <v>0</v>
      </c>
      <c r="E24" s="4">
        <f>IF([年度]="","",年度管理費)</f>
        <v>20000</v>
      </c>
      <c r="F24" s="4">
        <f>IF([年度]="","",F23-[本金])</f>
        <v>1.0040821507573128E-9</v>
      </c>
      <c r="G24" s="4">
        <f>IF([年度]="","",IF(還款方式="本息平均",年繳本息-[利息],IF(現金流量表[[#This Row],[年度]]=評估年數,貸款金額,0)))</f>
        <v>91152.420366865379</v>
      </c>
      <c r="H24" s="4">
        <f>IF([年度]="","",F23*貸款利率)</f>
        <v>5469.1452220119827</v>
      </c>
      <c r="I24" s="4">
        <f>IF([年度]="","",[租金收入]-[當期折舊]-[管理費用]-[利息])</f>
        <v>274530.85477798805</v>
      </c>
      <c r="J24" s="4">
        <f>IF([年度]="","",MIN(0, J23+現金流量表[[#This Row],[稅前淨利]]))</f>
        <v>0</v>
      </c>
      <c r="K24" s="4">
        <f>IF([年度]="","", MAX(0,IF(([稅前淨利]+J23)&gt;=0, 現金流量表[[#This Row],[稅前淨利]]-(現金流量表[[#This Row],[稅前淨利]]+J23)*所得稅率, 現金流量表[[#This Row],[稅前淨利]])))</f>
        <v>227860.60946573009</v>
      </c>
      <c r="L24" s="4">
        <f>IF([年度]="","",[稅後淨利]+[當期折舊]-[本金])</f>
        <v>136708.18909886471</v>
      </c>
    </row>
    <row r="25" spans="1:12">
      <c r="A25" s="17" t="str">
        <f t="shared" si="0"/>
        <v/>
      </c>
      <c r="B25" s="5"/>
      <c r="C25" s="4" t="str">
        <f>IF([年度]="","",IF([年度]&lt;評估年數,年租金收入,年租金收入+殘值))</f>
        <v/>
      </c>
      <c r="D25" s="4" t="str">
        <f>IF([年度]="","",IF([年度]&lt;=折舊年限,SLN(設備總價,殘值,折舊年限),0))</f>
        <v/>
      </c>
      <c r="E25" s="4" t="str">
        <f>IF([年度]="","",年度管理費)</f>
        <v/>
      </c>
      <c r="F25" s="4" t="str">
        <f>IF([年度]="","",F24-[本金])</f>
        <v/>
      </c>
      <c r="G25" s="4" t="str">
        <f>IF([年度]="","",IF(還款方式="本息平均",年繳本息-[利息],IF(現金流量表[[#This Row],[年度]]=評估年數,貸款金額,0)))</f>
        <v/>
      </c>
      <c r="H25" s="4" t="str">
        <f>IF([年度]="","",F24*貸款利率)</f>
        <v/>
      </c>
      <c r="I25" s="4" t="str">
        <f>IF([年度]="","",[租金收入]-[當期折舊]-[管理費用]-[利息])</f>
        <v/>
      </c>
      <c r="J25" s="4" t="str">
        <f>IF([年度]="","",MIN(0, J24+現金流量表[[#This Row],[稅前淨利]]))</f>
        <v/>
      </c>
      <c r="K25" s="4" t="str">
        <f>IF([年度]="","", MAX(0,IF(([稅前淨利]+J24)&gt;=0, 現金流量表[[#This Row],[稅前淨利]]-(現金流量表[[#This Row],[稅前淨利]]+J24)*所得稅率, 現金流量表[[#This Row],[稅前淨利]])))</f>
        <v/>
      </c>
      <c r="L25" s="4" t="str">
        <f>IF([年度]="","",[稅後淨利]+[當期折舊]-[本金])</f>
        <v/>
      </c>
    </row>
    <row r="26" spans="1:12">
      <c r="A26" s="17" t="str">
        <f t="shared" si="0"/>
        <v/>
      </c>
      <c r="B26" s="5"/>
      <c r="C26" s="4" t="str">
        <f>IF([年度]="","",IF([年度]&lt;評估年數,年租金收入,年租金收入+殘值))</f>
        <v/>
      </c>
      <c r="D26" s="4" t="str">
        <f>IF([年度]="","",IF([年度]&lt;=折舊年限,SLN(設備總價,殘值,折舊年限),0))</f>
        <v/>
      </c>
      <c r="E26" s="4" t="str">
        <f>IF([年度]="","",年度管理費)</f>
        <v/>
      </c>
      <c r="F26" s="4" t="str">
        <f>IF([年度]="","",F25-[本金])</f>
        <v/>
      </c>
      <c r="G26" s="4" t="str">
        <f>IF([年度]="","",IF(還款方式="本息平均",年繳本息-[利息],IF(現金流量表[[#This Row],[年度]]=評估年數,貸款金額,0)))</f>
        <v/>
      </c>
      <c r="H26" s="4" t="str">
        <f>IF([年度]="","",F25*貸款利率)</f>
        <v/>
      </c>
      <c r="I26" s="4" t="str">
        <f>IF([年度]="","",[租金收入]-[當期折舊]-[管理費用]-[利息])</f>
        <v/>
      </c>
      <c r="J26" s="4" t="str">
        <f>IF([年度]="","",MIN(0, J25+現金流量表[[#This Row],[稅前淨利]]))</f>
        <v/>
      </c>
      <c r="K26" s="4" t="str">
        <f>IF([年度]="","", MAX(0,IF(([稅前淨利]+J25)&gt;=0, 現金流量表[[#This Row],[稅前淨利]]-(現金流量表[[#This Row],[稅前淨利]]+J25)*所得稅率, 現金流量表[[#This Row],[稅前淨利]])))</f>
        <v/>
      </c>
      <c r="L26" s="4" t="str">
        <f>IF([年度]="","",[稅後淨利]+[當期折舊]-[本金])</f>
        <v/>
      </c>
    </row>
    <row r="27" spans="1:12">
      <c r="A27" s="17" t="str">
        <f t="shared" si="0"/>
        <v/>
      </c>
      <c r="B27" s="5"/>
      <c r="C27" s="4" t="str">
        <f>IF([年度]="","",IF([年度]&lt;評估年數,年租金收入,年租金收入+殘值))</f>
        <v/>
      </c>
      <c r="D27" s="4" t="str">
        <f>IF([年度]="","",IF([年度]&lt;=折舊年限,SLN(設備總價,殘值,折舊年限),0))</f>
        <v/>
      </c>
      <c r="E27" s="4" t="str">
        <f>IF([年度]="","",年度管理費)</f>
        <v/>
      </c>
      <c r="F27" s="4" t="str">
        <f>IF([年度]="","",F26-[本金])</f>
        <v/>
      </c>
      <c r="G27" s="4" t="str">
        <f>IF([年度]="","",IF(還款方式="本息平均",年繳本息-[利息],IF(現金流量表[[#This Row],[年度]]=評估年數,貸款金額,0)))</f>
        <v/>
      </c>
      <c r="H27" s="4" t="str">
        <f>IF([年度]="","",F26*貸款利率)</f>
        <v/>
      </c>
      <c r="I27" s="4" t="str">
        <f>IF([年度]="","",[租金收入]-[當期折舊]-[管理費用]-[利息])</f>
        <v/>
      </c>
      <c r="J27" s="4" t="str">
        <f>IF([年度]="","",MIN(0, J26+現金流量表[[#This Row],[稅前淨利]]))</f>
        <v/>
      </c>
      <c r="K27" s="4" t="str">
        <f>IF([年度]="","", MAX(0,IF(([稅前淨利]+J26)&gt;=0, 現金流量表[[#This Row],[稅前淨利]]-(現金流量表[[#This Row],[稅前淨利]]+J26)*所得稅率, 現金流量表[[#This Row],[稅前淨利]])))</f>
        <v/>
      </c>
      <c r="L27" s="4" t="str">
        <f>IF([年度]="","",[稅後淨利]+[當期折舊]-[本金])</f>
        <v/>
      </c>
    </row>
    <row r="28" spans="1:12">
      <c r="A28" s="17" t="str">
        <f t="shared" si="0"/>
        <v/>
      </c>
      <c r="B28" s="5"/>
      <c r="C28" s="4" t="str">
        <f>IF([年度]="","",IF([年度]&lt;評估年數,年租金收入,年租金收入+殘值))</f>
        <v/>
      </c>
      <c r="D28" s="4" t="str">
        <f>IF([年度]="","",IF([年度]&lt;=折舊年限,SLN(設備總價,殘值,折舊年限),0))</f>
        <v/>
      </c>
      <c r="E28" s="4" t="str">
        <f>IF([年度]="","",年度管理費)</f>
        <v/>
      </c>
      <c r="F28" s="4" t="str">
        <f>IF([年度]="","",F27-[本金])</f>
        <v/>
      </c>
      <c r="G28" s="4" t="str">
        <f>IF([年度]="","",IF(還款方式="本息平均",年繳本息-[利息],IF(現金流量表[[#This Row],[年度]]=評估年數,貸款金額,0)))</f>
        <v/>
      </c>
      <c r="H28" s="4" t="str">
        <f>IF([年度]="","",F27*貸款利率)</f>
        <v/>
      </c>
      <c r="I28" s="4" t="str">
        <f>IF([年度]="","",[租金收入]-[當期折舊]-[管理費用]-[利息])</f>
        <v/>
      </c>
      <c r="J28" s="4" t="str">
        <f>IF([年度]="","",MIN(0, J27+現金流量表[[#This Row],[稅前淨利]]))</f>
        <v/>
      </c>
      <c r="K28" s="4" t="str">
        <f>IF([年度]="","", MAX(0,IF(([稅前淨利]+J27)&gt;=0, 現金流量表[[#This Row],[稅前淨利]]-(現金流量表[[#This Row],[稅前淨利]]+J27)*所得稅率, 現金流量表[[#This Row],[稅前淨利]])))</f>
        <v/>
      </c>
      <c r="L28" s="4" t="str">
        <f>IF([年度]="","",[稅後淨利]+[當期折舊]-[本金])</f>
        <v/>
      </c>
    </row>
    <row r="29" spans="1:12">
      <c r="A29" s="17" t="str">
        <f t="shared" si="0"/>
        <v/>
      </c>
      <c r="B29" s="5"/>
      <c r="C29" s="4" t="str">
        <f>IF([年度]="","",IF([年度]&lt;評估年數,年租金收入,年租金收入+殘值))</f>
        <v/>
      </c>
      <c r="D29" s="4" t="str">
        <f>IF([年度]="","",IF([年度]&lt;=折舊年限,SLN(設備總價,殘值,折舊年限),0))</f>
        <v/>
      </c>
      <c r="E29" s="4" t="str">
        <f>IF([年度]="","",年度管理費)</f>
        <v/>
      </c>
      <c r="F29" s="4" t="str">
        <f>IF([年度]="","",F28-[本金])</f>
        <v/>
      </c>
      <c r="G29" s="4" t="str">
        <f>IF([年度]="","",IF(還款方式="本息平均",年繳本息-[利息],IF(現金流量表[[#This Row],[年度]]=評估年數,貸款金額,0)))</f>
        <v/>
      </c>
      <c r="H29" s="4" t="str">
        <f>IF([年度]="","",F28*貸款利率)</f>
        <v/>
      </c>
      <c r="I29" s="4" t="str">
        <f>IF([年度]="","",[租金收入]-[當期折舊]-[管理費用]-[利息])</f>
        <v/>
      </c>
      <c r="J29" s="4" t="str">
        <f>IF([年度]="","",MIN(0, J28+現金流量表[[#This Row],[稅前淨利]]))</f>
        <v/>
      </c>
      <c r="K29" s="4" t="str">
        <f>IF([年度]="","", MAX(0,IF(([稅前淨利]+J28)&gt;=0, 現金流量表[[#This Row],[稅前淨利]]-(現金流量表[[#This Row],[稅前淨利]]+J28)*所得稅率, 現金流量表[[#This Row],[稅前淨利]])))</f>
        <v/>
      </c>
      <c r="L29" s="4" t="str">
        <f>IF([年度]="","",[稅後淨利]+[當期折舊]-[本金])</f>
        <v/>
      </c>
    </row>
    <row r="30" spans="1:12">
      <c r="A30" s="17" t="str">
        <f t="shared" si="0"/>
        <v/>
      </c>
      <c r="B30" s="5"/>
      <c r="C30" s="4" t="str">
        <f>IF([年度]="","",IF([年度]&lt;評估年數,年租金收入,年租金收入+殘值))</f>
        <v/>
      </c>
      <c r="D30" s="4" t="str">
        <f>IF([年度]="","",IF([年度]&lt;=折舊年限,SLN(設備總價,殘值,折舊年限),0))</f>
        <v/>
      </c>
      <c r="E30" s="4" t="str">
        <f>IF([年度]="","",年度管理費)</f>
        <v/>
      </c>
      <c r="F30" s="4" t="str">
        <f>IF([年度]="","",F29-[本金])</f>
        <v/>
      </c>
      <c r="G30" s="4" t="str">
        <f>IF([年度]="","",IF(還款方式="本息平均",年繳本息-[利息],IF(現金流量表[[#This Row],[年度]]=評估年數,貸款金額,0)))</f>
        <v/>
      </c>
      <c r="H30" s="4" t="str">
        <f>IF([年度]="","",F29*貸款利率)</f>
        <v/>
      </c>
      <c r="I30" s="4" t="str">
        <f>IF([年度]="","",[租金收入]-[當期折舊]-[管理費用]-[利息])</f>
        <v/>
      </c>
      <c r="J30" s="4" t="str">
        <f>IF([年度]="","",MIN(0, J29+現金流量表[[#This Row],[稅前淨利]]))</f>
        <v/>
      </c>
      <c r="K30" s="4" t="str">
        <f>IF([年度]="","", MAX(0,IF(([稅前淨利]+J29)&gt;=0, 現金流量表[[#This Row],[稅前淨利]]-(現金流量表[[#This Row],[稅前淨利]]+J29)*所得稅率, 現金流量表[[#This Row],[稅前淨利]])))</f>
        <v/>
      </c>
      <c r="L30" s="4" t="str">
        <f>IF([年度]="","",[稅後淨利]+[當期折舊]-[本金])</f>
        <v/>
      </c>
    </row>
    <row r="31" spans="1:12">
      <c r="A31" s="17" t="str">
        <f t="shared" si="0"/>
        <v/>
      </c>
      <c r="B31" s="5"/>
      <c r="C31" s="4" t="str">
        <f>IF([年度]="","",IF([年度]&lt;評估年數,年租金收入,年租金收入+殘值))</f>
        <v/>
      </c>
      <c r="D31" s="4" t="str">
        <f>IF([年度]="","",IF([年度]&lt;=折舊年限,SLN(設備總價,殘值,折舊年限),0))</f>
        <v/>
      </c>
      <c r="E31" s="4" t="str">
        <f>IF([年度]="","",年度管理費)</f>
        <v/>
      </c>
      <c r="F31" s="4" t="str">
        <f>IF([年度]="","",F30-[本金])</f>
        <v/>
      </c>
      <c r="G31" s="4" t="str">
        <f>IF([年度]="","",IF(還款方式="本息平均",年繳本息-[利息],IF(現金流量表[[#This Row],[年度]]=評估年數,貸款金額,0)))</f>
        <v/>
      </c>
      <c r="H31" s="4" t="str">
        <f>IF([年度]="","",F30*貸款利率)</f>
        <v/>
      </c>
      <c r="I31" s="4" t="str">
        <f>IF([年度]="","",[租金收入]-[當期折舊]-[管理費用]-[利息])</f>
        <v/>
      </c>
      <c r="J31" s="4" t="str">
        <f>IF([年度]="","",MIN(0, J30+現金流量表[[#This Row],[稅前淨利]]))</f>
        <v/>
      </c>
      <c r="K31" s="4" t="str">
        <f>IF([年度]="","", MAX(0,IF(([稅前淨利]+J30)&gt;=0, 現金流量表[[#This Row],[稅前淨利]]-(現金流量表[[#This Row],[稅前淨利]]+J30)*所得稅率, 現金流量表[[#This Row],[稅前淨利]])))</f>
        <v/>
      </c>
      <c r="L31" s="4" t="str">
        <f>IF([年度]="","",[稅後淨利]+[當期折舊]-[本金])</f>
        <v/>
      </c>
    </row>
    <row r="32" spans="1:12">
      <c r="A32" s="17" t="str">
        <f t="shared" si="0"/>
        <v/>
      </c>
      <c r="B32" s="5"/>
      <c r="C32" s="4" t="str">
        <f>IF([年度]="","",IF([年度]&lt;評估年數,年租金收入,年租金收入+殘值))</f>
        <v/>
      </c>
      <c r="D32" s="4" t="str">
        <f>IF([年度]="","",IF([年度]&lt;=折舊年限,SLN(設備總價,殘值,折舊年限),0))</f>
        <v/>
      </c>
      <c r="E32" s="4" t="str">
        <f>IF([年度]="","",年度管理費)</f>
        <v/>
      </c>
      <c r="F32" s="4" t="str">
        <f>IF([年度]="","",F31-[本金])</f>
        <v/>
      </c>
      <c r="G32" s="4" t="str">
        <f>IF([年度]="","",IF(還款方式="本息平均",年繳本息-[利息],IF(現金流量表[[#This Row],[年度]]=評估年數,貸款金額,0)))</f>
        <v/>
      </c>
      <c r="H32" s="4" t="str">
        <f>IF([年度]="","",F31*貸款利率)</f>
        <v/>
      </c>
      <c r="I32" s="4" t="str">
        <f>IF([年度]="","",[租金收入]-[當期折舊]-[管理費用]-[利息])</f>
        <v/>
      </c>
      <c r="J32" s="4" t="str">
        <f>IF([年度]="","",MIN(0, J31+現金流量表[[#This Row],[稅前淨利]]))</f>
        <v/>
      </c>
      <c r="K32" s="4" t="str">
        <f>IF([年度]="","", MAX(0,IF(([稅前淨利]+J31)&gt;=0, 現金流量表[[#This Row],[稅前淨利]]-(現金流量表[[#This Row],[稅前淨利]]+J31)*所得稅率, 現金流量表[[#This Row],[稅前淨利]])))</f>
        <v/>
      </c>
      <c r="L32" s="4" t="str">
        <f>IF([年度]="","",[稅後淨利]+[當期折舊]-[本金])</f>
        <v/>
      </c>
    </row>
    <row r="33" spans="1:12">
      <c r="A33" s="17" t="str">
        <f t="shared" si="0"/>
        <v/>
      </c>
      <c r="B33" s="5"/>
      <c r="C33" s="4" t="str">
        <f>IF([年度]="","",IF([年度]&lt;評估年數,年租金收入,年租金收入+殘值))</f>
        <v/>
      </c>
      <c r="D33" s="4" t="str">
        <f>IF([年度]="","",IF([年度]&lt;=折舊年限,SLN(設備總價,殘值,折舊年限),0))</f>
        <v/>
      </c>
      <c r="E33" s="4" t="str">
        <f>IF([年度]="","",年度管理費)</f>
        <v/>
      </c>
      <c r="F33" s="4" t="str">
        <f>IF([年度]="","",F32-[本金])</f>
        <v/>
      </c>
      <c r="G33" s="4" t="str">
        <f>IF([年度]="","",IF(還款方式="本息平均",年繳本息-[利息],IF(現金流量表[[#This Row],[年度]]=評估年數,貸款金額,0)))</f>
        <v/>
      </c>
      <c r="H33" s="4" t="str">
        <f>IF([年度]="","",F32*貸款利率)</f>
        <v/>
      </c>
      <c r="I33" s="4" t="str">
        <f>IF([年度]="","",[租金收入]-[當期折舊]-[管理費用]-[利息])</f>
        <v/>
      </c>
      <c r="J33" s="4" t="str">
        <f>IF([年度]="","",MIN(0, J32+現金流量表[[#This Row],[稅前淨利]]))</f>
        <v/>
      </c>
      <c r="K33" s="4" t="str">
        <f>IF([年度]="","", MAX(0,IF(([稅前淨利]+J32)&gt;=0, 現金流量表[[#This Row],[稅前淨利]]-(現金流量表[[#This Row],[稅前淨利]]+J32)*所得稅率, 現金流量表[[#This Row],[稅前淨利]])))</f>
        <v/>
      </c>
      <c r="L33" s="4" t="str">
        <f>IF([年度]="","",[稅後淨利]+[當期折舊]-[本金])</f>
        <v/>
      </c>
    </row>
    <row r="34" spans="1:12">
      <c r="A34" s="17" t="str">
        <f t="shared" si="0"/>
        <v/>
      </c>
      <c r="B34" s="5"/>
      <c r="C34" s="4" t="str">
        <f>IF([年度]="","",IF([年度]&lt;評估年數,年租金收入,年租金收入+殘值))</f>
        <v/>
      </c>
      <c r="D34" s="4" t="str">
        <f>IF([年度]="","",IF([年度]&lt;=折舊年限,SLN(設備總價,殘值,折舊年限),0))</f>
        <v/>
      </c>
      <c r="E34" s="4" t="str">
        <f>IF([年度]="","",年度管理費)</f>
        <v/>
      </c>
      <c r="F34" s="4" t="str">
        <f>IF([年度]="","",F33-[本金])</f>
        <v/>
      </c>
      <c r="G34" s="4" t="str">
        <f>IF([年度]="","",IF(還款方式="本息平均",年繳本息-[利息],IF(現金流量表[[#This Row],[年度]]=評估年數,貸款金額,0)))</f>
        <v/>
      </c>
      <c r="H34" s="4" t="str">
        <f>IF([年度]="","",F33*貸款利率)</f>
        <v/>
      </c>
      <c r="I34" s="4" t="str">
        <f>IF([年度]="","",[租金收入]-[當期折舊]-[管理費用]-[利息])</f>
        <v/>
      </c>
      <c r="J34" s="4" t="str">
        <f>IF([年度]="","",MIN(0, J33+現金流量表[[#This Row],[稅前淨利]]))</f>
        <v/>
      </c>
      <c r="K34" s="4" t="str">
        <f>IF([年度]="","", MAX(0,IF(([稅前淨利]+J33)&gt;=0, 現金流量表[[#This Row],[稅前淨利]]-(現金流量表[[#This Row],[稅前淨利]]+J33)*所得稅率, 現金流量表[[#This Row],[稅前淨利]])))</f>
        <v/>
      </c>
      <c r="L34" s="4" t="str">
        <f>IF([年度]="","",[稅後淨利]+[當期折舊]-[本金])</f>
        <v/>
      </c>
    </row>
    <row r="35" spans="1:12">
      <c r="A35" s="17" t="str">
        <f t="shared" si="0"/>
        <v/>
      </c>
      <c r="B35" s="5"/>
      <c r="C35" s="4" t="str">
        <f>IF([年度]="","",IF([年度]&lt;評估年數,年租金收入,年租金收入+殘值))</f>
        <v/>
      </c>
      <c r="D35" s="4" t="str">
        <f>IF([年度]="","",IF([年度]&lt;=折舊年限,SLN(設備總價,殘值,折舊年限),0))</f>
        <v/>
      </c>
      <c r="E35" s="4" t="str">
        <f>IF([年度]="","",年度管理費)</f>
        <v/>
      </c>
      <c r="F35" s="4" t="str">
        <f>IF([年度]="","",F34-[本金])</f>
        <v/>
      </c>
      <c r="G35" s="4" t="str">
        <f>IF([年度]="","",IF(還款方式="本息平均",年繳本息-[利息],IF(現金流量表[[#This Row],[年度]]=評估年數,貸款金額,0)))</f>
        <v/>
      </c>
      <c r="H35" s="4" t="str">
        <f>IF([年度]="","",F34*貸款利率)</f>
        <v/>
      </c>
      <c r="I35" s="4" t="str">
        <f>IF([年度]="","",[租金收入]-[當期折舊]-[管理費用]-[利息])</f>
        <v/>
      </c>
      <c r="J35" s="4" t="str">
        <f>IF([年度]="","",MIN(0, J34+現金流量表[[#This Row],[稅前淨利]]))</f>
        <v/>
      </c>
      <c r="K35" s="4" t="str">
        <f>IF([年度]="","", MAX(0,IF(([稅前淨利]+J34)&gt;=0, 現金流量表[[#This Row],[稅前淨利]]-(現金流量表[[#This Row],[稅前淨利]]+J34)*所得稅率, 現金流量表[[#This Row],[稅前淨利]])))</f>
        <v/>
      </c>
      <c r="L35" s="4" t="str">
        <f>IF([年度]="","",[稅後淨利]+[當期折舊]-[本金])</f>
        <v/>
      </c>
    </row>
    <row r="36" spans="1:12">
      <c r="A36" s="17" t="str">
        <f t="shared" si="0"/>
        <v/>
      </c>
      <c r="B36" s="5"/>
      <c r="C36" s="4" t="str">
        <f>IF([年度]="","",IF([年度]&lt;評估年數,年租金收入,年租金收入+殘值))</f>
        <v/>
      </c>
      <c r="D36" s="4" t="str">
        <f>IF([年度]="","",IF([年度]&lt;=折舊年限,SLN(設備總價,殘值,折舊年限),0))</f>
        <v/>
      </c>
      <c r="E36" s="4" t="str">
        <f>IF([年度]="","",年度管理費)</f>
        <v/>
      </c>
      <c r="F36" s="4" t="str">
        <f>IF([年度]="","",F35-[本金])</f>
        <v/>
      </c>
      <c r="G36" s="4" t="str">
        <f>IF([年度]="","",IF(還款方式="本息平均",年繳本息-[利息],IF(現金流量表[[#This Row],[年度]]=評估年數,貸款金額,0)))</f>
        <v/>
      </c>
      <c r="H36" s="4" t="str">
        <f>IF([年度]="","",F35*貸款利率)</f>
        <v/>
      </c>
      <c r="I36" s="4" t="str">
        <f>IF([年度]="","",[租金收入]-[當期折舊]-[管理費用]-[利息])</f>
        <v/>
      </c>
      <c r="J36" s="4" t="str">
        <f>IF([年度]="","",MIN(0, J35+現金流量表[[#This Row],[稅前淨利]]))</f>
        <v/>
      </c>
      <c r="K36" s="4" t="str">
        <f>IF([年度]="","", MAX(0,IF(([稅前淨利]+J35)&gt;=0, 現金流量表[[#This Row],[稅前淨利]]-(現金流量表[[#This Row],[稅前淨利]]+J35)*所得稅率, 現金流量表[[#This Row],[稅前淨利]])))</f>
        <v/>
      </c>
      <c r="L36" s="4" t="str">
        <f>IF([年度]="","",[稅後淨利]+[當期折舊]-[本金])</f>
        <v/>
      </c>
    </row>
  </sheetData>
  <phoneticPr fontId="3" type="noConversion"/>
  <dataValidations count="1">
    <dataValidation type="list" allowBlank="1" showInputMessage="1" showErrorMessage="1" sqref="B9">
      <formula1>"本息平均, 一次還本付息"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64"/>
  <sheetViews>
    <sheetView workbookViewId="0">
      <selection activeCell="M6" sqref="M6"/>
    </sheetView>
  </sheetViews>
  <sheetFormatPr defaultRowHeight="16.2"/>
  <cols>
    <col min="1" max="1" width="10.44140625" bestFit="1" customWidth="1"/>
    <col min="2" max="2" width="10.6640625" bestFit="1" customWidth="1"/>
  </cols>
  <sheetData>
    <row r="1" spans="1:2">
      <c r="A1" t="s">
        <v>24</v>
      </c>
      <c r="B1" s="11">
        <v>0.05</v>
      </c>
    </row>
    <row r="2" spans="1:2">
      <c r="A2" t="s">
        <v>26</v>
      </c>
      <c r="B2" s="18">
        <f>租賃事業!L16+NPV(資金成本, 租賃事業!L17:L36)</f>
        <v>275687.42523427855</v>
      </c>
    </row>
    <row r="4" spans="1:2">
      <c r="A4" t="s">
        <v>25</v>
      </c>
      <c r="B4" t="s">
        <v>27</v>
      </c>
    </row>
    <row r="5" spans="1:2" hidden="1">
      <c r="B5" s="1">
        <f>淨現值</f>
        <v>275687.42523427855</v>
      </c>
    </row>
    <row r="6" spans="1:2">
      <c r="A6" s="12">
        <v>0.01</v>
      </c>
      <c r="B6" s="1">
        <f t="dataTable" ref="B6:B64" dt2D="0" dtr="0" r1="B1"/>
        <v>394292.80069616856</v>
      </c>
    </row>
    <row r="7" spans="1:2">
      <c r="A7" s="12">
        <f>A6+0.5%</f>
        <v>1.4999999999999999E-2</v>
      </c>
      <c r="B7" s="1">
        <v>377766.07325311296</v>
      </c>
    </row>
    <row r="8" spans="1:2">
      <c r="A8" s="12">
        <f t="shared" ref="A8:A64" si="0">A7+0.5%</f>
        <v>0.02</v>
      </c>
      <c r="B8" s="1">
        <v>361764.78974735527</v>
      </c>
    </row>
    <row r="9" spans="1:2">
      <c r="A9" s="12">
        <f t="shared" si="0"/>
        <v>2.5000000000000001E-2</v>
      </c>
      <c r="B9" s="1">
        <v>346268.07753261412</v>
      </c>
    </row>
    <row r="10" spans="1:2">
      <c r="A10" s="12">
        <f t="shared" si="0"/>
        <v>3.0000000000000002E-2</v>
      </c>
      <c r="B10" s="1">
        <v>331256.0299752776</v>
      </c>
    </row>
    <row r="11" spans="1:2">
      <c r="A11" s="12">
        <f t="shared" si="0"/>
        <v>3.5000000000000003E-2</v>
      </c>
      <c r="B11" s="1">
        <v>316709.65612565377</v>
      </c>
    </row>
    <row r="12" spans="1:2">
      <c r="A12" s="12">
        <f t="shared" si="0"/>
        <v>0.04</v>
      </c>
      <c r="B12" s="1">
        <v>302610.83328165428</v>
      </c>
    </row>
    <row r="13" spans="1:2">
      <c r="A13" s="12">
        <f t="shared" si="0"/>
        <v>4.4999999999999998E-2</v>
      </c>
      <c r="B13" s="1">
        <v>288942.26226400957</v>
      </c>
    </row>
    <row r="14" spans="1:2">
      <c r="A14" s="12">
        <f t="shared" si="0"/>
        <v>4.9999999999999996E-2</v>
      </c>
      <c r="B14" s="1">
        <v>275687.42523427855</v>
      </c>
    </row>
    <row r="15" spans="1:2">
      <c r="A15" s="12">
        <f t="shared" si="0"/>
        <v>5.4999999999999993E-2</v>
      </c>
      <c r="B15" s="1">
        <v>262830.54589826672</v>
      </c>
    </row>
    <row r="16" spans="1:2">
      <c r="A16" s="12">
        <f t="shared" si="0"/>
        <v>5.9999999999999991E-2</v>
      </c>
      <c r="B16" s="1">
        <v>250356.55194793863</v>
      </c>
    </row>
    <row r="17" spans="1:2">
      <c r="A17" s="12">
        <f t="shared" si="0"/>
        <v>6.4999999999999988E-2</v>
      </c>
      <c r="B17" s="1">
        <v>238251.0396046947</v>
      </c>
    </row>
    <row r="18" spans="1:2">
      <c r="A18" s="12">
        <f t="shared" si="0"/>
        <v>6.9999999999999993E-2</v>
      </c>
      <c r="B18" s="1">
        <v>226500.2401359193</v>
      </c>
    </row>
    <row r="19" spans="1:2">
      <c r="A19" s="12">
        <f t="shared" si="0"/>
        <v>7.4999999999999997E-2</v>
      </c>
      <c r="B19" s="1">
        <v>215090.9882251526</v>
      </c>
    </row>
    <row r="20" spans="1:2">
      <c r="A20" s="12">
        <f t="shared" si="0"/>
        <v>0.08</v>
      </c>
      <c r="B20" s="1">
        <v>204010.69208403572</v>
      </c>
    </row>
    <row r="21" spans="1:2">
      <c r="A21" s="12">
        <f t="shared" si="0"/>
        <v>8.5000000000000006E-2</v>
      </c>
      <c r="B21" s="1">
        <v>193247.30520149344</v>
      </c>
    </row>
    <row r="22" spans="1:2">
      <c r="A22" s="12">
        <f t="shared" si="0"/>
        <v>9.0000000000000011E-2</v>
      </c>
      <c r="B22" s="1">
        <v>182789.29963235895</v>
      </c>
    </row>
    <row r="23" spans="1:2">
      <c r="A23" s="12">
        <f t="shared" si="0"/>
        <v>9.5000000000000015E-2</v>
      </c>
      <c r="B23" s="1">
        <v>172625.64073397266</v>
      </c>
    </row>
    <row r="24" spans="1:2">
      <c r="A24" s="12">
        <f t="shared" si="0"/>
        <v>0.10000000000000002</v>
      </c>
      <c r="B24" s="1">
        <v>162745.76326513593</v>
      </c>
    </row>
    <row r="25" spans="1:2">
      <c r="A25" s="12">
        <f t="shared" si="0"/>
        <v>0.10500000000000002</v>
      </c>
      <c r="B25" s="1">
        <v>153139.54876728007</v>
      </c>
    </row>
    <row r="26" spans="1:2">
      <c r="A26" s="12">
        <f t="shared" si="0"/>
        <v>0.11000000000000003</v>
      </c>
      <c r="B26" s="1">
        <v>143797.3041527879</v>
      </c>
    </row>
    <row r="27" spans="1:2">
      <c r="A27" s="12">
        <f t="shared" si="0"/>
        <v>0.11500000000000003</v>
      </c>
      <c r="B27" s="1">
        <v>134709.74143016327</v>
      </c>
    </row>
    <row r="28" spans="1:2">
      <c r="A28" s="12">
        <f t="shared" si="0"/>
        <v>0.12000000000000004</v>
      </c>
      <c r="B28" s="1">
        <v>125867.95850015269</v>
      </c>
    </row>
    <row r="29" spans="1:2">
      <c r="A29" s="12">
        <f t="shared" si="0"/>
        <v>0.12500000000000003</v>
      </c>
      <c r="B29" s="1">
        <v>117263.42096106405</v>
      </c>
    </row>
    <row r="30" spans="1:2">
      <c r="A30" s="12">
        <f t="shared" si="0"/>
        <v>0.13000000000000003</v>
      </c>
      <c r="B30" s="1">
        <v>108887.94486535713</v>
      </c>
    </row>
    <row r="31" spans="1:2">
      <c r="A31" s="12">
        <f t="shared" si="0"/>
        <v>0.13500000000000004</v>
      </c>
      <c r="B31" s="1">
        <v>100733.68037319178</v>
      </c>
    </row>
    <row r="32" spans="1:2">
      <c r="A32" s="12">
        <f t="shared" si="0"/>
        <v>0.14000000000000004</v>
      </c>
      <c r="B32" s="1">
        <v>92793.096251951531</v>
      </c>
    </row>
    <row r="33" spans="1:2">
      <c r="A33" s="12">
        <f t="shared" si="0"/>
        <v>0.14500000000000005</v>
      </c>
      <c r="B33" s="1">
        <v>85058.965173913748</v>
      </c>
    </row>
    <row r="34" spans="1:2">
      <c r="A34" s="12">
        <f t="shared" si="0"/>
        <v>0.15000000000000005</v>
      </c>
      <c r="B34" s="1">
        <v>77524.349767135165</v>
      </c>
    </row>
    <row r="35" spans="1:2">
      <c r="A35" s="12">
        <f t="shared" si="0"/>
        <v>0.15500000000000005</v>
      </c>
      <c r="B35" s="1">
        <v>70182.589377384749</v>
      </c>
    </row>
    <row r="36" spans="1:2">
      <c r="A36" s="12">
        <f t="shared" si="0"/>
        <v>0.16000000000000006</v>
      </c>
      <c r="B36" s="1">
        <v>63027.287501480023</v>
      </c>
    </row>
    <row r="37" spans="1:2">
      <c r="A37" s="12">
        <f t="shared" si="0"/>
        <v>0.16500000000000006</v>
      </c>
      <c r="B37" s="1">
        <v>56052.299854798999</v>
      </c>
    </row>
    <row r="38" spans="1:2">
      <c r="A38" s="12">
        <f t="shared" si="0"/>
        <v>0.17000000000000007</v>
      </c>
      <c r="B38" s="1">
        <v>49251.723037949298</v>
      </c>
    </row>
    <row r="39" spans="1:2">
      <c r="A39" s="12">
        <f t="shared" si="0"/>
        <v>0.17500000000000007</v>
      </c>
      <c r="B39" s="1">
        <v>42619.883769691398</v>
      </c>
    </row>
    <row r="40" spans="1:2">
      <c r="A40" s="12">
        <f t="shared" si="0"/>
        <v>0.18000000000000008</v>
      </c>
      <c r="B40" s="1">
        <v>36151.328655143327</v>
      </c>
    </row>
    <row r="41" spans="1:2">
      <c r="A41" s="12">
        <f t="shared" si="0"/>
        <v>0.18500000000000008</v>
      </c>
      <c r="B41" s="1">
        <v>29840.81446015049</v>
      </c>
    </row>
    <row r="42" spans="1:2">
      <c r="A42" s="12">
        <f t="shared" si="0"/>
        <v>0.19000000000000009</v>
      </c>
      <c r="B42" s="1">
        <v>23683.298864398617</v>
      </c>
    </row>
    <row r="43" spans="1:2">
      <c r="A43" s="12">
        <f t="shared" si="0"/>
        <v>0.19500000000000009</v>
      </c>
      <c r="B43" s="1">
        <v>17673.931667473575</v>
      </c>
    </row>
    <row r="44" spans="1:2">
      <c r="A44" s="12">
        <f t="shared" si="0"/>
        <v>0.20000000000000009</v>
      </c>
      <c r="B44" s="1">
        <v>11808.04642355832</v>
      </c>
    </row>
    <row r="45" spans="1:2">
      <c r="A45" s="12">
        <f t="shared" si="0"/>
        <v>0.2050000000000001</v>
      </c>
      <c r="B45" s="1">
        <v>6081.1524818906328</v>
      </c>
    </row>
    <row r="46" spans="1:2">
      <c r="A46" s="12">
        <f t="shared" si="0"/>
        <v>0.2100000000000001</v>
      </c>
      <c r="B46" s="1">
        <v>488.92741140438011</v>
      </c>
    </row>
    <row r="47" spans="1:2">
      <c r="A47" s="12">
        <f t="shared" si="0"/>
        <v>0.21500000000000011</v>
      </c>
      <c r="B47" s="1">
        <v>-4972.7902107562404</v>
      </c>
    </row>
    <row r="48" spans="1:2">
      <c r="A48" s="12">
        <f t="shared" si="0"/>
        <v>0.22000000000000011</v>
      </c>
      <c r="B48" s="1">
        <v>-10308.007666019723</v>
      </c>
    </row>
    <row r="49" spans="1:2">
      <c r="A49" s="12">
        <f t="shared" si="0"/>
        <v>0.22500000000000012</v>
      </c>
      <c r="B49" s="1">
        <v>-15520.584634522325</v>
      </c>
    </row>
    <row r="50" spans="1:2">
      <c r="A50" s="12">
        <f t="shared" si="0"/>
        <v>0.23000000000000012</v>
      </c>
      <c r="B50" s="1">
        <v>-20614.23942564585</v>
      </c>
    </row>
    <row r="51" spans="1:2">
      <c r="A51" s="12">
        <f t="shared" si="0"/>
        <v>0.23500000000000013</v>
      </c>
      <c r="B51" s="1">
        <v>-25592.554915023327</v>
      </c>
    </row>
    <row r="52" spans="1:2">
      <c r="A52" s="12">
        <f t="shared" si="0"/>
        <v>0.24000000000000013</v>
      </c>
      <c r="B52" s="1">
        <v>-30458.984203194268</v>
      </c>
    </row>
    <row r="53" spans="1:2">
      <c r="A53" s="12">
        <f t="shared" si="0"/>
        <v>0.24500000000000013</v>
      </c>
      <c r="B53" s="1">
        <v>-35216.856010223157</v>
      </c>
    </row>
    <row r="54" spans="1:2">
      <c r="A54" s="12">
        <f t="shared" si="0"/>
        <v>0.25000000000000011</v>
      </c>
      <c r="B54" s="1">
        <v>-39869.379819807888</v>
      </c>
    </row>
    <row r="55" spans="1:2">
      <c r="A55" s="12">
        <f t="shared" si="0"/>
        <v>0.25500000000000012</v>
      </c>
      <c r="B55" s="1">
        <v>-44419.650785648671</v>
      </c>
    </row>
    <row r="56" spans="1:2">
      <c r="A56" s="12">
        <f t="shared" si="0"/>
        <v>0.26000000000000012</v>
      </c>
      <c r="B56" s="1">
        <v>-48870.654412140197</v>
      </c>
    </row>
    <row r="57" spans="1:2">
      <c r="A57" s="12">
        <f t="shared" si="0"/>
        <v>0.26500000000000012</v>
      </c>
      <c r="B57" s="1">
        <v>-53225.271020792599</v>
      </c>
    </row>
    <row r="58" spans="1:2">
      <c r="A58" s="12">
        <f t="shared" si="0"/>
        <v>0.27000000000000013</v>
      </c>
      <c r="B58" s="1">
        <v>-57486.280013152689</v>
      </c>
    </row>
    <row r="59" spans="1:2">
      <c r="A59" s="12">
        <f t="shared" si="0"/>
        <v>0.27500000000000013</v>
      </c>
      <c r="B59" s="1">
        <v>-61656.363940416544</v>
      </c>
    </row>
    <row r="60" spans="1:2">
      <c r="A60" s="12">
        <f t="shared" si="0"/>
        <v>0.28000000000000014</v>
      </c>
      <c r="B60" s="1">
        <v>-65738.112389364454</v>
      </c>
    </row>
    <row r="61" spans="1:2">
      <c r="A61" s="12">
        <f t="shared" si="0"/>
        <v>0.28500000000000014</v>
      </c>
      <c r="B61" s="1">
        <v>-69734.025693736272</v>
      </c>
    </row>
    <row r="62" spans="1:2">
      <c r="A62" s="12">
        <f t="shared" si="0"/>
        <v>0.29000000000000015</v>
      </c>
      <c r="B62" s="1">
        <v>-73646.518479665392</v>
      </c>
    </row>
    <row r="63" spans="1:2">
      <c r="A63" s="12">
        <f t="shared" si="0"/>
        <v>0.29500000000000015</v>
      </c>
      <c r="B63" s="1">
        <v>-77477.923053332022</v>
      </c>
    </row>
    <row r="64" spans="1:2">
      <c r="A64" s="12">
        <f t="shared" si="0"/>
        <v>0.30000000000000016</v>
      </c>
      <c r="B64" s="1">
        <v>-81230.492638560012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15</vt:i4>
      </vt:variant>
    </vt:vector>
  </HeadingPairs>
  <TitlesOfParts>
    <vt:vector size="17" baseType="lpstr">
      <vt:lpstr>租賃事業</vt:lpstr>
      <vt:lpstr>淨現值</vt:lpstr>
      <vt:lpstr>年度管理費</vt:lpstr>
      <vt:lpstr>年租金收入</vt:lpstr>
      <vt:lpstr>年繳本息</vt:lpstr>
      <vt:lpstr>自備款</vt:lpstr>
      <vt:lpstr>投資報酬率</vt:lpstr>
      <vt:lpstr>折舊年限</vt:lpstr>
      <vt:lpstr>所得稅率</vt:lpstr>
      <vt:lpstr>淨現值</vt:lpstr>
      <vt:lpstr>設備總價</vt:lpstr>
      <vt:lpstr>殘值</vt:lpstr>
      <vt:lpstr>評估年數</vt:lpstr>
      <vt:lpstr>貸款利率</vt:lpstr>
      <vt:lpstr>貸款金額</vt:lpstr>
      <vt:lpstr>資金成本</vt:lpstr>
      <vt:lpstr>還款方式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怪老子</cp:lastModifiedBy>
  <dcterms:created xsi:type="dcterms:W3CDTF">2010-07-26T06:44:30Z</dcterms:created>
  <dcterms:modified xsi:type="dcterms:W3CDTF">2011-12-13T08:23:19Z</dcterms:modified>
</cp:coreProperties>
</file>