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masterhsiao\LossWeight\Excel\"/>
    </mc:Choice>
  </mc:AlternateContent>
  <bookViews>
    <workbookView xWindow="0" yWindow="0" windowWidth="23040" windowHeight="9888" activeTab="2"/>
  </bookViews>
  <sheets>
    <sheet name="減重規劃表" sheetId="4" r:id="rId1"/>
    <sheet name="健走及路跑熱量" sheetId="3" r:id="rId2"/>
    <sheet name="每日消耗熱量" sheetId="2" r:id="rId3"/>
    <sheet name="運動量規劃" sheetId="1" r:id="rId4"/>
  </sheets>
  <definedNames>
    <definedName name="cals_burned_per_minute">健走及路跑熱量!$B$9</definedName>
    <definedName name="oxy_rate">健走及路跑熱量!$B$8</definedName>
    <definedName name="speed">健走及路跑熱量!$B$6</definedName>
    <definedName name="VerticalRate">健走及路跑熱量!$B$7</definedName>
    <definedName name="一年減重公斤數">運動量規劃!$B$1</definedName>
    <definedName name="平均每月運動日數">運動量規劃!$B$2</definedName>
    <definedName name="年齡">每日消耗熱量!$B$1</definedName>
    <definedName name="每日運動量_卡">運動量規劃!$B$3</definedName>
    <definedName name="每日熱量需求">每日消耗熱量!$B$9</definedName>
    <definedName name="身高">每日消耗熱量!$B$3</definedName>
    <definedName name="坡度">健走及路跑熱量!$B$5</definedName>
    <definedName name="性別">每日消耗熱量!$B$2</definedName>
    <definedName name="活動因子">每日消耗熱量!$B$5</definedName>
    <definedName name="消耗卡路里">健走及路跑熱量!$B$12</definedName>
    <definedName name="基礎代謝率">每日消耗熱量!$B$8</definedName>
    <definedName name="速度_公里_時">健走及路跑熱量!$B$3</definedName>
    <definedName name="運動方式">健走及路跑熱量!$B$1</definedName>
    <definedName name="運動時間_分">健走及路跑熱量!$B$4</definedName>
    <definedName name="體重">每日消耗熱量!$B$4</definedName>
    <definedName name="體重_公斤">健走及路跑熱量!$B$2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15" i="4"/>
  <c r="C6" i="4"/>
  <c r="D6" i="4"/>
  <c r="E6" i="4"/>
  <c r="F6" i="4"/>
  <c r="G6" i="4"/>
  <c r="H6" i="4"/>
  <c r="I6" i="4"/>
  <c r="J6" i="4"/>
  <c r="K6" i="4"/>
  <c r="L6" i="4"/>
  <c r="M6" i="4"/>
  <c r="B6" i="4"/>
  <c r="C9" i="4"/>
  <c r="C12" i="4"/>
  <c r="D9" i="4"/>
  <c r="D12" i="4"/>
  <c r="E9" i="4"/>
  <c r="E12" i="4"/>
  <c r="E15" i="4"/>
  <c r="F9" i="4"/>
  <c r="F12" i="4"/>
  <c r="G9" i="4"/>
  <c r="G12" i="4"/>
  <c r="H9" i="4"/>
  <c r="H12" i="4"/>
  <c r="H15" i="4"/>
  <c r="I9" i="4"/>
  <c r="I12" i="4"/>
  <c r="I15" i="4"/>
  <c r="J9" i="4"/>
  <c r="J12" i="4"/>
  <c r="J15" i="4"/>
  <c r="K9" i="4"/>
  <c r="K12" i="4"/>
  <c r="K15" i="4"/>
  <c r="L9" i="4"/>
  <c r="L12" i="4"/>
  <c r="L15" i="4"/>
  <c r="M9" i="4"/>
  <c r="M12" i="4"/>
  <c r="M15" i="4"/>
  <c r="B9" i="4"/>
  <c r="B12" i="4"/>
  <c r="C8" i="4"/>
  <c r="D8" i="4"/>
  <c r="E8" i="4"/>
  <c r="F8" i="4"/>
  <c r="G8" i="4"/>
  <c r="H8" i="4"/>
  <c r="I8" i="4"/>
  <c r="J8" i="4"/>
  <c r="K8" i="4"/>
  <c r="L8" i="4"/>
  <c r="M8" i="4"/>
  <c r="B8" i="4"/>
  <c r="B17" i="4"/>
  <c r="C17" i="4"/>
  <c r="D17" i="4"/>
  <c r="E17" i="4"/>
  <c r="F17" i="4"/>
  <c r="G17" i="4"/>
  <c r="B13" i="4"/>
  <c r="B14" i="4"/>
  <c r="B11" i="3"/>
  <c r="B6" i="3"/>
  <c r="B10" i="3" s="1"/>
  <c r="B7" i="3"/>
  <c r="B8" i="3" s="1"/>
  <c r="B9" i="3" s="1"/>
  <c r="B12" i="3" s="1"/>
  <c r="B9" i="2"/>
  <c r="B8" i="2"/>
  <c r="B3" i="1"/>
  <c r="B7" i="1"/>
  <c r="D15" i="4"/>
  <c r="D13" i="4"/>
  <c r="D14" i="4"/>
  <c r="G15" i="4"/>
  <c r="G13" i="4"/>
  <c r="G14" i="4"/>
  <c r="C15" i="4"/>
  <c r="C13" i="4"/>
  <c r="C14" i="4"/>
  <c r="F15" i="4"/>
  <c r="F13" i="4"/>
  <c r="F14" i="4"/>
  <c r="H17" i="4"/>
  <c r="I17" i="4"/>
  <c r="J17" i="4"/>
  <c r="K17" i="4"/>
  <c r="L17" i="4"/>
  <c r="M17" i="4"/>
  <c r="L13" i="4"/>
  <c r="L14" i="4"/>
  <c r="I13" i="4"/>
  <c r="I14" i="4"/>
  <c r="H13" i="4"/>
  <c r="H14" i="4"/>
  <c r="E13" i="4"/>
  <c r="E14" i="4"/>
  <c r="J13" i="4"/>
  <c r="J14" i="4"/>
  <c r="K13" i="4"/>
  <c r="K14" i="4"/>
  <c r="M13" i="4"/>
  <c r="M14" i="4"/>
</calcChain>
</file>

<file path=xl/sharedStrings.xml><?xml version="1.0" encoding="utf-8"?>
<sst xmlns="http://schemas.openxmlformats.org/spreadsheetml/2006/main" count="67" uniqueCount="61">
  <si>
    <t>每月運動日數</t>
    <phoneticPr fontId="1" type="noConversion"/>
  </si>
  <si>
    <t>每年減重公斤數</t>
    <phoneticPr fontId="1" type="noConversion"/>
  </si>
  <si>
    <t>年齡</t>
    <phoneticPr fontId="1" type="noConversion"/>
  </si>
  <si>
    <t>性別</t>
    <phoneticPr fontId="1" type="noConversion"/>
  </si>
  <si>
    <t>男性</t>
  </si>
  <si>
    <t>身高</t>
    <phoneticPr fontId="1" type="noConversion"/>
  </si>
  <si>
    <t>體重</t>
    <phoneticPr fontId="1" type="noConversion"/>
  </si>
  <si>
    <t>活動因子</t>
    <phoneticPr fontId="1" type="noConversion"/>
  </si>
  <si>
    <t>基礎代謝率(BMR)</t>
    <phoneticPr fontId="1" type="noConversion"/>
  </si>
  <si>
    <t>運動方式</t>
    <phoneticPr fontId="1" type="noConversion"/>
  </si>
  <si>
    <t>垂直攝氧量</t>
    <phoneticPr fontId="1" type="noConversion"/>
  </si>
  <si>
    <t>消耗卡路里</t>
    <phoneticPr fontId="1" type="noConversion"/>
  </si>
  <si>
    <t>運動因子</t>
    <phoneticPr fontId="1" type="noConversion"/>
  </si>
  <si>
    <t>公斤數</t>
    <phoneticPr fontId="1" type="noConversion"/>
  </si>
  <si>
    <t>76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</si>
  <si>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</si>
  <si>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</si>
  <si>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</si>
  <si>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</si>
  <si>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</si>
  <si>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</si>
  <si>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</si>
  <si>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</si>
  <si>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</si>
  <si>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</si>
  <si>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質量指數(BMI)</t>
    <phoneticPr fontId="1" type="noConversion"/>
  </si>
  <si>
    <t>消耗總熱量</t>
    <phoneticPr fontId="1" type="noConversion"/>
  </si>
  <si>
    <t>食物熱量預算</t>
    <phoneticPr fontId="1" type="noConversion"/>
  </si>
  <si>
    <t>食物佔總熱量比</t>
    <phoneticPr fontId="1" type="noConversion"/>
  </si>
  <si>
    <t>實際完成天數</t>
    <phoneticPr fontId="1" type="noConversion"/>
  </si>
  <si>
    <t>預計完成日期</t>
    <phoneticPr fontId="1" type="noConversion"/>
  </si>
  <si>
    <t>熱量減少比例</t>
    <phoneticPr fontId="1" type="noConversion"/>
  </si>
  <si>
    <t>年齡</t>
  </si>
  <si>
    <t>性別</t>
  </si>
  <si>
    <t>身高(公分)</t>
    <phoneticPr fontId="1" type="noConversion"/>
  </si>
  <si>
    <t>基礎代謝(BMR)</t>
    <phoneticPr fontId="1" type="noConversion"/>
  </si>
  <si>
    <t>每日總熱量需求</t>
    <phoneticPr fontId="1" type="noConversion"/>
  </si>
  <si>
    <t>所需天數</t>
    <phoneticPr fontId="1" type="noConversion"/>
  </si>
  <si>
    <t>75</t>
    <phoneticPr fontId="1" type="noConversion"/>
  </si>
  <si>
    <t>每日減少熱量</t>
    <phoneticPr fontId="1" type="noConversion"/>
  </si>
  <si>
    <t>公斤</t>
    <phoneticPr fontId="1" type="noConversion"/>
  </si>
  <si>
    <t>公里/時</t>
    <phoneticPr fontId="1" type="noConversion"/>
  </si>
  <si>
    <t>速度</t>
    <phoneticPr fontId="1" type="noConversion"/>
  </si>
  <si>
    <t>分鐘</t>
    <phoneticPr fontId="1" type="noConversion"/>
  </si>
  <si>
    <t>運動時間</t>
    <phoneticPr fontId="1" type="noConversion"/>
  </si>
  <si>
    <t>%</t>
    <phoneticPr fontId="1" type="noConversion"/>
  </si>
  <si>
    <t>坡度</t>
    <phoneticPr fontId="1" type="noConversion"/>
  </si>
  <si>
    <t>公尺/分</t>
    <phoneticPr fontId="1" type="noConversion"/>
  </si>
  <si>
    <t>攝氧量</t>
    <phoneticPr fontId="1" type="noConversion"/>
  </si>
  <si>
    <t>大卡/分/公斤</t>
    <phoneticPr fontId="1" type="noConversion"/>
  </si>
  <si>
    <t>分/公里</t>
    <phoneticPr fontId="1" type="noConversion"/>
  </si>
  <si>
    <t>每公斤熱量消耗</t>
    <phoneticPr fontId="1" type="noConversion"/>
  </si>
  <si>
    <t>配速</t>
    <phoneticPr fontId="1" type="noConversion"/>
  </si>
  <si>
    <t>一年期望減重</t>
    <phoneticPr fontId="1" type="noConversion"/>
  </si>
  <si>
    <t>每日需要消耗熱量</t>
    <phoneticPr fontId="1" type="noConversion"/>
  </si>
  <si>
    <t>卡</t>
    <phoneticPr fontId="1" type="noConversion"/>
  </si>
  <si>
    <t>日</t>
    <phoneticPr fontId="1" type="noConversion"/>
  </si>
  <si>
    <t>身體質量指數(BMI)</t>
    <phoneticPr fontId="1" type="noConversion"/>
  </si>
  <si>
    <t>參考網頁</t>
    <phoneticPr fontId="1" type="noConversion"/>
  </si>
  <si>
    <t>距離</t>
    <phoneticPr fontId="1" type="noConversion"/>
  </si>
  <si>
    <t>跑步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</si>
</sst>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#,##0_ ;[Red]\-#,##0\ "/>
    <numFmt numFmtId="177" formatCode="0.000"/>
    <numFmt numFmtId="178" formatCode="_-* #,##0_-;\-* #,##0_-;_-* &quot;-&quot;??_-;_-@_-"/>
    <numFmt numFmtId="179" formatCode="#,##0.0_ ;[Red]\-#,##0.0\ "/>
    <numFmt numFmtId="180" formatCode="#,##0.0_ "/>
    <numFmt numFmtId="181" formatCode="0.0%"/>
    <numFmt numFmtId="182" formatCode="#,##0.00_ ;[Red]\-#,##0.00\ "/>
    <numFmt numFmtId="183" formatCode="0.0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 tint="0.1499984740745262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5" borderId="1" xfId="0" applyNumberFormat="1" applyFont="1" applyFill="1" applyBorder="1">
      <alignment vertical="center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9" fillId="6" borderId="1" xfId="2" applyNumberFormat="1" applyFont="1" applyFill="1" applyBorder="1" applyAlignment="1">
      <alignment horizontal="center" vertical="center"/>
    </xf>
    <xf numFmtId="179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43" fontId="8" fillId="0" borderId="0" xfId="0" applyNumberFormat="1" applyFont="1">
      <alignment vertical="center"/>
    </xf>
    <xf numFmtId="0" fontId="9" fillId="8" borderId="1" xfId="0" applyFont="1" applyFill="1" applyBorder="1">
      <alignment vertical="center"/>
    </xf>
    <xf numFmtId="178" fontId="9" fillId="8" borderId="1" xfId="2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80" fontId="2" fillId="0" borderId="0" xfId="0" applyNumberFormat="1" applyFont="1">
      <alignment vertical="center"/>
    </xf>
    <xf numFmtId="181" fontId="2" fillId="0" borderId="0" xfId="3" applyNumberFormat="1" applyFont="1">
      <alignment vertical="center"/>
    </xf>
    <xf numFmtId="0" fontId="2" fillId="7" borderId="1" xfId="0" applyFont="1" applyFill="1" applyBorder="1">
      <alignment vertical="center"/>
    </xf>
    <xf numFmtId="182" fontId="2" fillId="7" borderId="1" xfId="0" applyNumberFormat="1" applyFont="1" applyFill="1" applyBorder="1">
      <alignment vertical="center"/>
    </xf>
    <xf numFmtId="0" fontId="3" fillId="9" borderId="1" xfId="0" applyFont="1" applyFill="1" applyBorder="1">
      <alignment vertical="center"/>
    </xf>
    <xf numFmtId="179" fontId="3" fillId="9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83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8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9" fontId="2" fillId="0" borderId="0" xfId="3" applyNumberFormat="1" applyFont="1" applyAlignment="1">
      <alignment horizontal="center" vertical="center"/>
    </xf>
    <xf numFmtId="14" fontId="2" fillId="0" borderId="0" xfId="0" applyNumberFormat="1" applyFo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6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0" fillId="0" borderId="0" xfId="4">
      <alignment vertical="center"/>
    </xf>
    <xf numFmtId="0" fontId="5" fillId="0" borderId="3" xfId="0" applyFont="1" applyBorder="1" applyAlignment="1">
      <alignment horizontal="center" vertical="center" textRotation="180"/>
    </xf>
    <xf numFmtId="0" fontId="5" fillId="0" borderId="2" xfId="0" applyFont="1" applyBorder="1" applyAlignment="1">
      <alignment horizontal="center" vertical="center"/>
    </xf>
  </cellXfs>
  <cellStyles count="5">
    <cellStyle name="一般" xfId="0" builtinId="0"/>
    <cellStyle name="千分位" xfId="2" builtinId="3"/>
    <cellStyle name="千分位 2" xfId="1"/>
    <cellStyle name="百分比" xfId="3" builtinId="5"/>
    <cellStyle name="超連結" xfId="4" builtinId="8"/>
  </cellStyles>
  <dxfs count="17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/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26504</xdr:colOff>
      <xdr:row>10</xdr:row>
      <xdr:rowOff>132522</xdr:rowOff>
    </xdr:from>
    <xdr:to>
      <xdr:col>9</xdr:col>
      <xdr:colOff>218661</xdr:colOff>
      <xdr:row>17</xdr:row>
      <xdr:rowOff>26505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30B8E9AA-787F-4EC1-A9B6-FEFD658E8EC4}"/>
            </a:ext>
          </a:extLst>
        </xdr:cNvPr>
        <xdr:cNvSpPr txBox="1"/>
      </xdr:nvSpPr>
      <xdr:spPr>
        <a:xfrm>
          <a:off x="3101008" y="2186609"/>
          <a:ext cx="3810001" cy="133184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世界衛生組織建議以身體質量指數（</a:t>
          </a:r>
          <a:r>
            <a:rPr lang="en-US" altLang="zh-TW" sz="1100" b="1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Body Mass Index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,</a:t>
          </a:r>
          <a:r>
            <a:rPr lang="en-US" altLang="zh-TW" sz="1100" b="1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BMI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）來衡量肥胖程度，其計算公式</a:t>
          </a:r>
          <a:r>
            <a:rPr lang="zh-TW" altLang="en-US" sz="1100" b="1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是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以體重（公斤）除以身高（公尺）的平方。 國民健康署建議我國成人</a:t>
          </a:r>
          <a:r>
            <a:rPr lang="en-US" altLang="zh-TW" sz="1100" b="1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BMI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應維持在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18.5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（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kg/m2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）及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24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（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kg/m2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）之間，太瘦、過重或太胖皆有礙健康。</a:t>
          </a:r>
          <a:endParaRPr lang="zh-TW" altLang="en-US" sz="11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3</xdr:col>
      <xdr:colOff>19878</xdr:colOff>
      <xdr:row>1</xdr:row>
      <xdr:rowOff>59635</xdr:rowOff>
    </xdr:from>
    <xdr:to>
      <xdr:col>9</xdr:col>
      <xdr:colOff>231912</xdr:colOff>
      <xdr:row>9</xdr:row>
      <xdr:rowOff>99392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8BB225AF-0F97-4BD1-80EB-BBB77ABFCCBF}"/>
            </a:ext>
          </a:extLst>
        </xdr:cNvPr>
        <xdr:cNvSpPr txBox="1"/>
      </xdr:nvSpPr>
      <xdr:spPr>
        <a:xfrm>
          <a:off x="3094382" y="265044"/>
          <a:ext cx="3829878" cy="16830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活動因子參考</a:t>
          </a:r>
          <a:endParaRPr lang="en-US" altLang="zh-TW" sz="1400" b="1" i="0">
            <a:solidFill>
              <a:schemeClr val="dk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1.200 = 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久坐不動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(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每天幾乎沒有運動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</a:p>
        <a:p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1.375 = 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輕量運動 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(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每周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1~3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天運動，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約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590 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大卡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天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</a:p>
        <a:p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1.550 = 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中度運度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(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每周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3~5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天運動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，約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870 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大卡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天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</a:p>
        <a:p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1.725 = 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強度運動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(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每周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6~7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天運動，約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1150 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大卡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天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</a:p>
        <a:p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1.900 = 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超強運動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(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每天劇烈運動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, 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約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1580 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大卡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天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</a:p>
        <a:p>
          <a:endParaRPr lang="zh-TW" altLang="en-US" sz="11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表格1" displayName="表格1" ref="A5:M17" totalsRowShown="0" headerRowDxfId="14" dataDxfId="13">
  <tableColumns count="13">
    <tableColumn id="1" name="公斤數" dataDxfId="12"/>
    <tableColumn id="2" name="76" dataDxfId="11"/>
    <tableColumn id="3" name="75" dataDxfId="10"/>
    <tableColumn id="4" name="74" dataDxfId="9"/>
    <tableColumn id="5" name="73" dataDxfId="8"/>
    <tableColumn id="6" name="72" dataDxfId="7"/>
    <tableColumn id="7" name="71" dataDxfId="6"/>
    <tableColumn id="8" name="70" dataDxfId="5"/>
    <tableColumn id="9" name="69" dataDxfId="4"/>
    <tableColumn id="10" name="68" dataDxfId="3"/>
    <tableColumn id="11" name="67" dataDxfId="2"/>
    <tableColumn id="12" name="66" dataDxfId="1"/>
    <tableColumn id="13" name="65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cientificpsychic.com/health/cron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J28" sqref="J28"/>
    </sheetView>
  </sheetViews>
  <sheetFormatPr defaultColWidth="8.88671875" defaultRowHeight="15.6" x14ac:dyDescent="0.3"/>
  <cols>
    <col min="1" max="1" width="20.21875" style="1" bestFit="1" customWidth="1"/>
    <col min="2" max="6" width="12.88671875" style="1" bestFit="1" customWidth="1"/>
    <col min="7" max="13" width="14.33203125" style="1" bestFit="1" customWidth="1"/>
    <col min="14" max="16384" width="8.88671875" style="1"/>
  </cols>
  <sheetData>
    <row r="1" spans="1:13" x14ac:dyDescent="0.3">
      <c r="A1" s="28" t="s">
        <v>32</v>
      </c>
      <c r="B1" s="40">
        <v>61</v>
      </c>
    </row>
    <row r="2" spans="1:13" x14ac:dyDescent="0.3">
      <c r="A2" s="28" t="s">
        <v>33</v>
      </c>
      <c r="B2" s="40" t="s">
        <v>4</v>
      </c>
    </row>
    <row r="3" spans="1:13" x14ac:dyDescent="0.3">
      <c r="A3" s="28" t="s">
        <v>34</v>
      </c>
      <c r="B3" s="40">
        <v>167</v>
      </c>
    </row>
    <row r="5" spans="1:13" x14ac:dyDescent="0.3">
      <c r="A5" s="28" t="s">
        <v>13</v>
      </c>
      <c r="B5" s="28" t="s">
        <v>14</v>
      </c>
      <c r="C5" s="28" t="s">
        <v>38</v>
      </c>
      <c r="D5" s="28" t="s">
        <v>15</v>
      </c>
      <c r="E5" s="28" t="s">
        <v>16</v>
      </c>
      <c r="F5" s="28" t="s">
        <v>17</v>
      </c>
      <c r="G5" s="28" t="s">
        <v>18</v>
      </c>
      <c r="H5" s="28" t="s">
        <v>19</v>
      </c>
      <c r="I5" s="28" t="s">
        <v>20</v>
      </c>
      <c r="J5" s="28" t="s">
        <v>21</v>
      </c>
      <c r="K5" s="28" t="s">
        <v>22</v>
      </c>
      <c r="L5" s="28" t="s">
        <v>23</v>
      </c>
      <c r="M5" s="28" t="s">
        <v>24</v>
      </c>
    </row>
    <row r="6" spans="1:13" x14ac:dyDescent="0.3">
      <c r="A6" s="33" t="s">
        <v>25</v>
      </c>
      <c r="B6" s="34">
        <f>表格1[[#Headers],[76]]/(($B$3/100)^2)</f>
        <v>27.250887446663558</v>
      </c>
      <c r="C6" s="34">
        <f>表格1[[#Headers],[75]]/(($B$3/100)^2)</f>
        <v>26.892323138154829</v>
      </c>
      <c r="D6" s="34">
        <f>表格1[[#Headers],[74]]/(($B$3/100)^2)</f>
        <v>26.533758829646096</v>
      </c>
      <c r="E6" s="34">
        <f>表格1[[#Headers],[73]]/(($B$3/100)^2)</f>
        <v>26.175194521137367</v>
      </c>
      <c r="F6" s="34">
        <f>表格1[[#Headers],[72]]/(($B$3/100)^2)</f>
        <v>25.816630212628635</v>
      </c>
      <c r="G6" s="34">
        <f>表格1[[#Headers],[71]]/(($B$3/100)^2)</f>
        <v>25.458065904119906</v>
      </c>
      <c r="H6" s="34">
        <f>表格1[[#Headers],[70]]/(($B$3/100)^2)</f>
        <v>25.099501595611173</v>
      </c>
      <c r="I6" s="34">
        <f>表格1[[#Headers],[69]]/(($B$3/100)^2)</f>
        <v>24.740937287102444</v>
      </c>
      <c r="J6" s="34">
        <f>表格1[[#Headers],[68]]/(($B$3/100)^2)</f>
        <v>24.382372978593711</v>
      </c>
      <c r="K6" s="34">
        <f>表格1[[#Headers],[67]]/(($B$3/100)^2)</f>
        <v>24.023808670084982</v>
      </c>
      <c r="L6" s="34">
        <f>表格1[[#Headers],[66]]/(($B$3/100)^2)</f>
        <v>23.665244361576249</v>
      </c>
      <c r="M6" s="34">
        <f>表格1[[#Headers],[65]]/(($B$3/100)^2)</f>
        <v>23.306680053067517</v>
      </c>
    </row>
    <row r="7" spans="1:13" x14ac:dyDescent="0.3">
      <c r="A7" s="42" t="s">
        <v>12</v>
      </c>
      <c r="B7" s="36">
        <v>1.55</v>
      </c>
      <c r="C7" s="36">
        <v>1.55</v>
      </c>
      <c r="D7" s="36">
        <v>1.55</v>
      </c>
      <c r="E7" s="36">
        <v>1.55</v>
      </c>
      <c r="F7" s="36">
        <v>1.55</v>
      </c>
      <c r="G7" s="36">
        <v>1.55</v>
      </c>
      <c r="H7" s="36">
        <v>1.55</v>
      </c>
      <c r="I7" s="36">
        <v>1.55</v>
      </c>
      <c r="J7" s="36">
        <v>1.55</v>
      </c>
      <c r="K7" s="36">
        <v>1.55</v>
      </c>
      <c r="L7" s="36">
        <v>1.55</v>
      </c>
      <c r="M7" s="36">
        <v>1.55</v>
      </c>
    </row>
    <row r="8" spans="1:13" x14ac:dyDescent="0.3">
      <c r="A8" s="33" t="s">
        <v>35</v>
      </c>
      <c r="B8" s="35">
        <f>IF($B$2="男性", 5+10*表格1[[#Headers],[76]]+6.25*$B$3-5*$B$1, 10*表格1[[#Headers],[76]]+6.25*$B$3-5*$B$1-161)</f>
        <v>1503.75</v>
      </c>
      <c r="C8" s="35">
        <f>IF($B$2="男性", 5+10*表格1[[#Headers],[75]]+6.25*$B$3-5*$B$1, 10*表格1[[#Headers],[75]]+6.25*$B$3-5*$B$1-161)</f>
        <v>1493.75</v>
      </c>
      <c r="D8" s="35">
        <f>IF($B$2="男性", 5+10*表格1[[#Headers],[74]]+6.25*$B$3-5*$B$1, 10*表格1[[#Headers],[74]]+6.25*$B$3-5*$B$1-161)</f>
        <v>1483.75</v>
      </c>
      <c r="E8" s="35">
        <f>IF($B$2="男性", 5+10*表格1[[#Headers],[73]]+6.25*$B$3-5*$B$1, 10*表格1[[#Headers],[73]]+6.25*$B$3-5*$B$1-161)</f>
        <v>1473.75</v>
      </c>
      <c r="F8" s="35">
        <f>IF($B$2="男性", 5+10*表格1[[#Headers],[72]]+6.25*$B$3-5*$B$1, 10*表格1[[#Headers],[72]]+6.25*$B$3-5*$B$1-161)</f>
        <v>1463.75</v>
      </c>
      <c r="G8" s="35">
        <f>IF($B$2="男性", 5+10*表格1[[#Headers],[71]]+6.25*$B$3-5*$B$1, 10*表格1[[#Headers],[71]]+6.25*$B$3-5*$B$1-161)</f>
        <v>1453.75</v>
      </c>
      <c r="H8" s="35">
        <f>IF($B$2="男性", 5+10*表格1[[#Headers],[70]]+6.25*$B$3-5*$B$1, 10*表格1[[#Headers],[70]]+6.25*$B$3-5*$B$1-161)</f>
        <v>1443.75</v>
      </c>
      <c r="I8" s="35">
        <f>IF($B$2="男性", 5+10*表格1[[#Headers],[69]]+6.25*$B$3-5*$B$1, 10*表格1[[#Headers],[69]]+6.25*$B$3-5*$B$1-161)</f>
        <v>1433.75</v>
      </c>
      <c r="J8" s="35">
        <f>IF($B$2="男性", 5+10*表格1[[#Headers],[68]]+6.25*$B$3-5*$B$1, 10*表格1[[#Headers],[68]]+6.25*$B$3-5*$B$1-161)</f>
        <v>1423.75</v>
      </c>
      <c r="K8" s="35">
        <f>IF($B$2="男性", 5+10*表格1[[#Headers],[67]]+6.25*$B$3-5*$B$1, 10*表格1[[#Headers],[67]]+6.25*$B$3-5*$B$1-161)</f>
        <v>1413.75</v>
      </c>
      <c r="L8" s="35">
        <f>IF($B$2="男性", 5+10*表格1[[#Headers],[66]]+6.25*$B$3-5*$B$1, 10*表格1[[#Headers],[66]]+6.25*$B$3-5*$B$1-161)</f>
        <v>1403.75</v>
      </c>
      <c r="M8" s="35">
        <f>IF($B$2="男性", 5+10*表格1[[#Headers],[65]]+6.25*$B$3-5*$B$1, 10*表格1[[#Headers],[65]]+6.25*$B$3-5*$B$1-161)</f>
        <v>1393.75</v>
      </c>
    </row>
    <row r="9" spans="1:13" x14ac:dyDescent="0.3">
      <c r="A9" s="33" t="s">
        <v>26</v>
      </c>
      <c r="B9" s="35">
        <f>IF($B$2="男性", B7*(66+13.7*表格1[[#Headers],[76]]+5*$B$3-6.8*$B$1), B7*(655+9.6*表格1[[#Headers],[76]]+1.8*$B$3-4.7*$B$1))</f>
        <v>2367.4700000000003</v>
      </c>
      <c r="C9" s="35">
        <f>IF($B$2="男性", C7*(66+13.7*表格1[[#Headers],[75]]+5*$B$3-6.8*$B$1), C7*(655+9.6*表格1[[#Headers],[75]]+1.8*$B$3-4.7*$B$1))</f>
        <v>2346.2350000000001</v>
      </c>
      <c r="D9" s="35">
        <f>IF($B$2="男性", D7*(66+13.7*表格1[[#Headers],[74]]+5*$B$3-6.8*$B$1), D7*(655+9.6*表格1[[#Headers],[74]]+1.8*$B$3-4.7*$B$1))</f>
        <v>2325</v>
      </c>
      <c r="E9" s="35">
        <f>IF($B$2="男性", E7*(66+13.7*表格1[[#Headers],[73]]+5*$B$3-6.8*$B$1), E7*(655+9.6*表格1[[#Headers],[73]]+1.8*$B$3-4.7*$B$1))</f>
        <v>2303.7649999999999</v>
      </c>
      <c r="F9" s="35">
        <f>IF($B$2="男性", F7*(66+13.7*表格1[[#Headers],[72]]+5*$B$3-6.8*$B$1), F7*(655+9.6*表格1[[#Headers],[72]]+1.8*$B$3-4.7*$B$1))</f>
        <v>2282.5300000000002</v>
      </c>
      <c r="G9" s="35">
        <f>IF($B$2="男性", G7*(66+13.7*表格1[[#Headers],[71]]+5*$B$3-6.8*$B$1), G7*(655+9.6*表格1[[#Headers],[71]]+1.8*$B$3-4.7*$B$1))</f>
        <v>2261.2950000000001</v>
      </c>
      <c r="H9" s="35">
        <f>IF($B$2="男性", H7*(66+13.7*表格1[[#Headers],[70]]+5*$B$3-6.8*$B$1), H7*(655+9.6*表格1[[#Headers],[70]]+1.8*$B$3-4.7*$B$1))</f>
        <v>2240.06</v>
      </c>
      <c r="I9" s="35">
        <f>IF($B$2="男性", I7*(66+13.7*表格1[[#Headers],[69]]+5*$B$3-6.8*$B$1), I7*(655+9.6*表格1[[#Headers],[69]]+1.8*$B$3-4.7*$B$1))</f>
        <v>2218.8250000000003</v>
      </c>
      <c r="J9" s="35">
        <f>IF($B$2="男性", J7*(66+13.7*表格1[[#Headers],[68]]+5*$B$3-6.8*$B$1), J7*(655+9.6*表格1[[#Headers],[68]]+1.8*$B$3-4.7*$B$1))</f>
        <v>2197.59</v>
      </c>
      <c r="K9" s="35">
        <f>IF($B$2="男性", K7*(66+13.7*表格1[[#Headers],[67]]+5*$B$3-6.8*$B$1), K7*(655+9.6*表格1[[#Headers],[67]]+1.8*$B$3-4.7*$B$1))</f>
        <v>2176.3550000000005</v>
      </c>
      <c r="L9" s="35">
        <f>IF($B$2="男性", L7*(66+13.7*表格1[[#Headers],[66]]+5*$B$3-6.8*$B$1), L7*(655+9.6*表格1[[#Headers],[66]]+1.8*$B$3-4.7*$B$1))</f>
        <v>2155.12</v>
      </c>
      <c r="M9" s="35">
        <f>IF($B$2="男性", M7*(66+13.7*表格1[[#Headers],[65]]+5*$B$3-6.8*$B$1), M7*(655+9.6*表格1[[#Headers],[65]]+1.8*$B$3-4.7*$B$1))</f>
        <v>2133.8850000000002</v>
      </c>
    </row>
    <row r="10" spans="1:13" x14ac:dyDescent="0.3">
      <c r="A10" s="33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3">
      <c r="A11" s="42" t="s">
        <v>31</v>
      </c>
      <c r="B11" s="39">
        <v>0.15</v>
      </c>
      <c r="C11" s="39">
        <v>0.15</v>
      </c>
      <c r="D11" s="39">
        <v>0.15</v>
      </c>
      <c r="E11" s="39">
        <v>0.15</v>
      </c>
      <c r="F11" s="39">
        <v>0.15</v>
      </c>
      <c r="G11" s="39">
        <v>0.15</v>
      </c>
      <c r="H11" s="39">
        <v>0.15</v>
      </c>
      <c r="I11" s="39">
        <v>0.15</v>
      </c>
      <c r="J11" s="39">
        <v>0.15</v>
      </c>
      <c r="K11" s="39">
        <v>0.15</v>
      </c>
      <c r="L11" s="39">
        <v>0.15</v>
      </c>
      <c r="M11" s="39">
        <v>0.15</v>
      </c>
    </row>
    <row r="12" spans="1:13" x14ac:dyDescent="0.3">
      <c r="A12" s="33" t="s">
        <v>39</v>
      </c>
      <c r="B12" s="35">
        <f>B9*B11</f>
        <v>355.12050000000005</v>
      </c>
      <c r="C12" s="35">
        <f t="shared" ref="C12:M12" si="0">C9*C11</f>
        <v>351.93525</v>
      </c>
      <c r="D12" s="35">
        <f t="shared" si="0"/>
        <v>348.75</v>
      </c>
      <c r="E12" s="35">
        <f t="shared" si="0"/>
        <v>345.56474999999995</v>
      </c>
      <c r="F12" s="35">
        <f t="shared" si="0"/>
        <v>342.37950000000001</v>
      </c>
      <c r="G12" s="35">
        <f t="shared" si="0"/>
        <v>339.19425000000001</v>
      </c>
      <c r="H12" s="35">
        <f t="shared" si="0"/>
        <v>336.00899999999996</v>
      </c>
      <c r="I12" s="35">
        <f t="shared" si="0"/>
        <v>332.82375000000002</v>
      </c>
      <c r="J12" s="35">
        <f t="shared" si="0"/>
        <v>329.63850000000002</v>
      </c>
      <c r="K12" s="35">
        <f t="shared" si="0"/>
        <v>326.45325000000008</v>
      </c>
      <c r="L12" s="35">
        <f t="shared" si="0"/>
        <v>323.26799999999997</v>
      </c>
      <c r="M12" s="35">
        <f t="shared" si="0"/>
        <v>320.08275000000003</v>
      </c>
    </row>
    <row r="13" spans="1:13" x14ac:dyDescent="0.3">
      <c r="A13" s="33" t="s">
        <v>27</v>
      </c>
      <c r="B13" s="35">
        <f>B9-B12</f>
        <v>2012.3495000000003</v>
      </c>
      <c r="C13" s="35">
        <f t="shared" ref="C13:M13" si="1">C9-C12</f>
        <v>1994.2997500000001</v>
      </c>
      <c r="D13" s="35">
        <f t="shared" si="1"/>
        <v>1976.25</v>
      </c>
      <c r="E13" s="35">
        <f t="shared" si="1"/>
        <v>1958.2002499999999</v>
      </c>
      <c r="F13" s="35">
        <f t="shared" si="1"/>
        <v>1940.1505000000002</v>
      </c>
      <c r="G13" s="35">
        <f t="shared" si="1"/>
        <v>1922.1007500000001</v>
      </c>
      <c r="H13" s="35">
        <f t="shared" si="1"/>
        <v>1904.0509999999999</v>
      </c>
      <c r="I13" s="35">
        <f t="shared" si="1"/>
        <v>1886.0012500000003</v>
      </c>
      <c r="J13" s="35">
        <f t="shared" si="1"/>
        <v>1867.9515000000001</v>
      </c>
      <c r="K13" s="35">
        <f t="shared" si="1"/>
        <v>1849.9017500000004</v>
      </c>
      <c r="L13" s="35">
        <f t="shared" si="1"/>
        <v>1831.8519999999999</v>
      </c>
      <c r="M13" s="35">
        <f t="shared" si="1"/>
        <v>1813.8022500000002</v>
      </c>
    </row>
    <row r="14" spans="1:13" x14ac:dyDescent="0.3">
      <c r="A14" s="33" t="s">
        <v>28</v>
      </c>
      <c r="B14" s="37">
        <f>B13/B9</f>
        <v>0.85</v>
      </c>
      <c r="C14" s="37">
        <f t="shared" ref="C14:M14" si="2">C13/C9</f>
        <v>0.85</v>
      </c>
      <c r="D14" s="37">
        <f t="shared" si="2"/>
        <v>0.85</v>
      </c>
      <c r="E14" s="37">
        <f t="shared" si="2"/>
        <v>0.85</v>
      </c>
      <c r="F14" s="37">
        <f t="shared" si="2"/>
        <v>0.85</v>
      </c>
      <c r="G14" s="37">
        <f t="shared" si="2"/>
        <v>0.85</v>
      </c>
      <c r="H14" s="37">
        <f t="shared" si="2"/>
        <v>0.85</v>
      </c>
      <c r="I14" s="37">
        <f t="shared" si="2"/>
        <v>0.85</v>
      </c>
      <c r="J14" s="37">
        <f t="shared" si="2"/>
        <v>0.85</v>
      </c>
      <c r="K14" s="37">
        <f t="shared" si="2"/>
        <v>0.85</v>
      </c>
      <c r="L14" s="37">
        <f t="shared" si="2"/>
        <v>0.85</v>
      </c>
      <c r="M14" s="37">
        <f t="shared" si="2"/>
        <v>0.85</v>
      </c>
    </row>
    <row r="15" spans="1:13" x14ac:dyDescent="0.3">
      <c r="A15" s="33" t="s">
        <v>37</v>
      </c>
      <c r="B15" s="35">
        <f>ROUNDUP(7700*(表格1[[#Headers],[76]]-表格1[[#Headers],[75]])/B12,0)</f>
        <v>22</v>
      </c>
      <c r="C15" s="35">
        <f>ROUNDUP(7700*(表格1[[#Headers],[75]]-表格1[[#Headers],[74]])/C12,0)</f>
        <v>22</v>
      </c>
      <c r="D15" s="35">
        <f>ROUNDUP(7700*(表格1[[#Headers],[74]]-表格1[[#Headers],[73]])/D12,0)</f>
        <v>23</v>
      </c>
      <c r="E15" s="35">
        <f>ROUNDUP(7700*(表格1[[#Headers],[73]]-表格1[[#Headers],[72]])/E12,0)</f>
        <v>23</v>
      </c>
      <c r="F15" s="35">
        <f>ROUNDUP(7700*(表格1[[#Headers],[72]]-表格1[[#Headers],[71]])/F12,0)</f>
        <v>23</v>
      </c>
      <c r="G15" s="35">
        <f>ROUNDUP(7700*(表格1[[#Headers],[71]]-表格1[[#Headers],[70]])/G12,0)</f>
        <v>23</v>
      </c>
      <c r="H15" s="35">
        <f>ROUNDUP(7700*(表格1[[#Headers],[70]]-表格1[[#Headers],[69]])/H12,0)</f>
        <v>23</v>
      </c>
      <c r="I15" s="35">
        <f>ROUNDUP(7700*(表格1[[#Headers],[69]]-表格1[[#Headers],[68]])/I12,0)</f>
        <v>24</v>
      </c>
      <c r="J15" s="35">
        <f>ROUNDUP(7700*(表格1[[#Headers],[68]]-表格1[[#Headers],[67]])/J12,0)</f>
        <v>24</v>
      </c>
      <c r="K15" s="35">
        <f>ROUNDUP(7700*(表格1[[#Headers],[67]]-表格1[[#Headers],[66]])/K12,0)</f>
        <v>24</v>
      </c>
      <c r="L15" s="35">
        <f>ROUNDUP(7700*(表格1[[#Headers],[66]]-表格1[[#Headers],[65]])/L12,0)</f>
        <v>24</v>
      </c>
      <c r="M15" s="35" t="e">
        <f>ROUNDUP(7700*(表格1[[#Headers],[65]]-表格1[[#Headers],[公斤數]])/M12,0)</f>
        <v>#VALUE!</v>
      </c>
    </row>
    <row r="16" spans="1:13" x14ac:dyDescent="0.3">
      <c r="A16" s="42" t="s">
        <v>29</v>
      </c>
      <c r="B16" s="41">
        <v>11</v>
      </c>
      <c r="C16" s="41">
        <v>28</v>
      </c>
      <c r="D16" s="41">
        <v>26</v>
      </c>
      <c r="E16" s="41">
        <v>21</v>
      </c>
      <c r="F16" s="41">
        <v>12</v>
      </c>
      <c r="G16" s="41">
        <v>39</v>
      </c>
      <c r="H16" s="41"/>
      <c r="I16" s="41"/>
      <c r="J16" s="41"/>
      <c r="K16" s="41"/>
      <c r="L16" s="41"/>
      <c r="M16" s="41"/>
    </row>
    <row r="17" spans="1:13" x14ac:dyDescent="0.3">
      <c r="A17" s="33" t="s">
        <v>30</v>
      </c>
      <c r="B17" s="38">
        <f>DATE(2017,5,1)+IF(ISNUMBER(B16),B16,B15)</f>
        <v>42867</v>
      </c>
      <c r="C17" s="38">
        <f>表格1[[#This Row],[76]]+IF(ISNUMBER(C16),C16,C15)</f>
        <v>42895</v>
      </c>
      <c r="D17" s="38">
        <f>表格1[[#This Row],[75]]+IF(ISNUMBER(D16),D16,D15)</f>
        <v>42921</v>
      </c>
      <c r="E17" s="38">
        <f>表格1[[#This Row],[74]]+IF(ISNUMBER(E16),E16,E15)</f>
        <v>42942</v>
      </c>
      <c r="F17" s="38">
        <f>表格1[[#This Row],[73]]+IF(ISNUMBER(F16),F16,F15)</f>
        <v>42954</v>
      </c>
      <c r="G17" s="38">
        <f>表格1[[#This Row],[72]]+IF(ISNUMBER(G16),G16,G15)</f>
        <v>42993</v>
      </c>
      <c r="H17" s="38">
        <f>表格1[[#This Row],[71]]+IF(ISNUMBER(H16),H16,H15)</f>
        <v>43016</v>
      </c>
      <c r="I17" s="38">
        <f>表格1[[#This Row],[70]]+IF(ISNUMBER(I16),I16,I15)</f>
        <v>43040</v>
      </c>
      <c r="J17" s="38">
        <f>表格1[[#This Row],[69]]+IF(ISNUMBER(J16),J16,J15)</f>
        <v>43064</v>
      </c>
      <c r="K17" s="38">
        <f>表格1[[#This Row],[68]]+IF(ISNUMBER(K16),K16,K15)</f>
        <v>43088</v>
      </c>
      <c r="L17" s="38">
        <f>表格1[[#This Row],[67]]+IF(ISNUMBER(L16),L16,L15)</f>
        <v>43112</v>
      </c>
      <c r="M17" s="38" t="e">
        <f>表格1[[#This Row],[66]]+IF(ISNUMBER(M16),M16,M15)</f>
        <v>#VALUE!</v>
      </c>
    </row>
  </sheetData>
  <phoneticPr fontId="1" type="noConversion"/>
  <dataValidations count="1">
    <dataValidation type="list" allowBlank="1" showInputMessage="1" showErrorMessage="1" sqref="B2">
      <formula1>"男性,女性"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130" zoomScaleNormal="130" workbookViewId="0">
      <selection activeCell="F8" sqref="F8"/>
    </sheetView>
  </sheetViews>
  <sheetFormatPr defaultColWidth="8.88671875" defaultRowHeight="15.6" x14ac:dyDescent="0.3"/>
  <cols>
    <col min="1" max="1" width="17.77734375" style="1" bestFit="1" customWidth="1"/>
    <col min="2" max="2" width="11.77734375" style="1" customWidth="1"/>
    <col min="3" max="3" width="11.33203125" style="1" customWidth="1"/>
    <col min="4" max="4" width="15.33203125" style="1" bestFit="1" customWidth="1"/>
    <col min="5" max="5" width="9.6640625" style="1" bestFit="1" customWidth="1"/>
    <col min="6" max="6" width="10.21875" style="1" customWidth="1"/>
    <col min="7" max="7" width="12.88671875" style="1" bestFit="1" customWidth="1"/>
    <col min="8" max="8" width="17.77734375" style="1" customWidth="1"/>
    <col min="9" max="15" width="8.88671875" style="1"/>
    <col min="16" max="17" width="10.109375" style="1" bestFit="1" customWidth="1"/>
    <col min="18" max="16384" width="8.88671875" style="1"/>
  </cols>
  <sheetData>
    <row r="1" spans="1:17" x14ac:dyDescent="0.3">
      <c r="A1" s="18" t="s">
        <v>9</v>
      </c>
      <c r="B1" s="19" t="s">
        <v>60</v>
      </c>
    </row>
    <row r="2" spans="1:17" x14ac:dyDescent="0.3">
      <c r="A2" s="18" t="s">
        <v>6</v>
      </c>
      <c r="B2" s="20">
        <v>71</v>
      </c>
      <c r="C2" s="1" t="s">
        <v>40</v>
      </c>
    </row>
    <row r="3" spans="1:17" x14ac:dyDescent="0.3">
      <c r="A3" s="18" t="s">
        <v>42</v>
      </c>
      <c r="B3" s="20">
        <v>5</v>
      </c>
      <c r="C3" s="1" t="s">
        <v>41</v>
      </c>
    </row>
    <row r="4" spans="1:17" x14ac:dyDescent="0.3">
      <c r="A4" s="18" t="s">
        <v>44</v>
      </c>
      <c r="B4" s="21">
        <v>60</v>
      </c>
      <c r="C4" s="1" t="s">
        <v>43</v>
      </c>
    </row>
    <row r="5" spans="1:17" x14ac:dyDescent="0.3">
      <c r="A5" s="18" t="s">
        <v>46</v>
      </c>
      <c r="B5" s="20">
        <v>0</v>
      </c>
      <c r="C5" s="1" t="s">
        <v>45</v>
      </c>
      <c r="F5" s="22"/>
      <c r="G5" s="23"/>
    </row>
    <row r="6" spans="1:17" x14ac:dyDescent="0.3">
      <c r="A6" s="24" t="s">
        <v>42</v>
      </c>
      <c r="B6" s="25">
        <f>速度_公里_時*1000/60</f>
        <v>83.333333333333329</v>
      </c>
      <c r="C6" s="1" t="s">
        <v>47</v>
      </c>
      <c r="F6" s="22"/>
      <c r="G6" s="23"/>
    </row>
    <row r="7" spans="1:17" x14ac:dyDescent="0.3">
      <c r="A7" s="24" t="s">
        <v>10</v>
      </c>
      <c r="B7" s="25">
        <f>IF(運動方式="健走", 1.8*speed*(坡度/100), 0.9*speed*坡度/100)</f>
        <v>0</v>
      </c>
      <c r="F7" s="22"/>
      <c r="G7" s="23"/>
    </row>
    <row r="8" spans="1:17" x14ac:dyDescent="0.3">
      <c r="A8" s="24" t="s">
        <v>48</v>
      </c>
      <c r="B8" s="25">
        <f>IF(運動方式="健走", 0.1*speed+VerticalRate+3.5, 0.2*speed+VerticalRate+3.5)</f>
        <v>20.166666666666668</v>
      </c>
      <c r="F8" s="22"/>
      <c r="G8" s="23"/>
    </row>
    <row r="9" spans="1:17" x14ac:dyDescent="0.3">
      <c r="A9" s="24" t="s">
        <v>51</v>
      </c>
      <c r="B9" s="25">
        <f>oxy_rate*體重_公斤*5/1000</f>
        <v>7.1591666666666676</v>
      </c>
      <c r="C9" s="1" t="s">
        <v>49</v>
      </c>
      <c r="F9" s="22"/>
      <c r="G9" s="23"/>
    </row>
    <row r="10" spans="1:17" x14ac:dyDescent="0.3">
      <c r="A10" s="24" t="s">
        <v>59</v>
      </c>
      <c r="B10" s="25">
        <f>speed*運動時間_分/1000</f>
        <v>5</v>
      </c>
      <c r="C10" s="1" t="s">
        <v>41</v>
      </c>
      <c r="F10" s="22"/>
      <c r="G10" s="23"/>
    </row>
    <row r="11" spans="1:17" x14ac:dyDescent="0.3">
      <c r="A11" s="24" t="s">
        <v>52</v>
      </c>
      <c r="B11" s="25">
        <f>60/速度_公里_時</f>
        <v>12</v>
      </c>
      <c r="C11" s="1" t="s">
        <v>50</v>
      </c>
      <c r="F11" s="22"/>
      <c r="G11" s="23"/>
    </row>
    <row r="12" spans="1:17" x14ac:dyDescent="0.3">
      <c r="A12" s="26" t="s">
        <v>11</v>
      </c>
      <c r="B12" s="27">
        <f>cals_burned_per_minute*運動時間_分</f>
        <v>429.55000000000007</v>
      </c>
      <c r="F12" s="22"/>
      <c r="G12" s="23"/>
      <c r="H12" s="23"/>
    </row>
    <row r="13" spans="1:17" x14ac:dyDescent="0.3">
      <c r="F13" s="22"/>
      <c r="G13" s="23"/>
      <c r="H13" s="28"/>
      <c r="K13" s="28"/>
      <c r="L13" s="28"/>
      <c r="P13" s="28"/>
      <c r="Q13" s="28"/>
    </row>
    <row r="14" spans="1:17" x14ac:dyDescent="0.3">
      <c r="G14" s="29"/>
      <c r="H14" s="29"/>
      <c r="J14" s="30"/>
      <c r="K14" s="31"/>
      <c r="L14" s="31"/>
      <c r="O14" s="32"/>
      <c r="P14" s="32"/>
      <c r="Q14" s="32"/>
    </row>
    <row r="15" spans="1:17" x14ac:dyDescent="0.3">
      <c r="G15" s="29"/>
      <c r="H15" s="29"/>
      <c r="J15" s="30"/>
      <c r="K15" s="31"/>
      <c r="L15" s="31"/>
      <c r="O15" s="32"/>
      <c r="P15" s="32"/>
      <c r="Q15" s="32"/>
    </row>
    <row r="16" spans="1:17" x14ac:dyDescent="0.3">
      <c r="G16" s="29"/>
      <c r="H16" s="29"/>
      <c r="J16" s="30"/>
      <c r="K16" s="31"/>
      <c r="L16" s="31"/>
      <c r="O16" s="32"/>
      <c r="P16" s="32"/>
      <c r="Q16" s="32"/>
    </row>
    <row r="17" spans="7:17" x14ac:dyDescent="0.3">
      <c r="G17" s="29"/>
      <c r="H17" s="29"/>
      <c r="J17" s="30"/>
      <c r="K17" s="31"/>
      <c r="L17" s="31"/>
      <c r="O17" s="32"/>
      <c r="P17" s="32"/>
      <c r="Q17" s="32"/>
    </row>
    <row r="18" spans="7:17" x14ac:dyDescent="0.3">
      <c r="G18" s="29"/>
      <c r="H18" s="29"/>
      <c r="J18" s="30"/>
      <c r="K18" s="31"/>
      <c r="L18" s="31"/>
    </row>
    <row r="19" spans="7:17" x14ac:dyDescent="0.3">
      <c r="G19" s="29"/>
      <c r="H19" s="29"/>
      <c r="J19" s="30"/>
      <c r="K19" s="31"/>
      <c r="L19" s="31"/>
    </row>
  </sheetData>
  <phoneticPr fontId="1" type="noConversion"/>
  <dataValidations count="1">
    <dataValidation type="list" allowBlank="1" showInputMessage="1" showErrorMessage="1" sqref="B1">
      <formula1>"健走,跑步"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16"/>
  <sheetViews>
    <sheetView tabSelected="1" zoomScale="115" zoomScaleNormal="115" zoomScalePageLayoutView="115" workbookViewId="0">
      <selection activeCell="A8" sqref="A8"/>
    </sheetView>
  </sheetViews>
  <sheetFormatPr defaultColWidth="8.77734375" defaultRowHeight="16.2" x14ac:dyDescent="0.3"/>
  <cols>
    <col min="1" max="1" width="20.77734375" style="10" customWidth="1"/>
    <col min="2" max="2" width="15.21875" style="10" bestFit="1" customWidth="1"/>
    <col min="3" max="16384" width="8.77734375" style="10"/>
  </cols>
  <sheetData>
    <row r="1" spans="1:4" x14ac:dyDescent="0.3">
      <c r="A1" s="8" t="s">
        <v>2</v>
      </c>
      <c r="B1" s="9">
        <v>61</v>
      </c>
      <c r="D1" s="45" t="s">
        <v>58</v>
      </c>
    </row>
    <row r="2" spans="1:4" x14ac:dyDescent="0.3">
      <c r="A2" s="8" t="s">
        <v>3</v>
      </c>
      <c r="B2" s="9" t="s">
        <v>4</v>
      </c>
    </row>
    <row r="3" spans="1:4" x14ac:dyDescent="0.3">
      <c r="A3" s="8" t="s">
        <v>5</v>
      </c>
      <c r="B3" s="9">
        <v>167</v>
      </c>
    </row>
    <row r="4" spans="1:4" x14ac:dyDescent="0.3">
      <c r="A4" s="8" t="s">
        <v>6</v>
      </c>
      <c r="B4" s="9">
        <v>71</v>
      </c>
    </row>
    <row r="5" spans="1:4" x14ac:dyDescent="0.3">
      <c r="A5" s="8" t="s">
        <v>7</v>
      </c>
      <c r="B5" s="11">
        <v>1.55</v>
      </c>
    </row>
    <row r="7" spans="1:4" x14ac:dyDescent="0.3">
      <c r="A7" s="44" t="s">
        <v>57</v>
      </c>
      <c r="B7" s="30">
        <f>體重/(身高/100)^2</f>
        <v>25.458065904119906</v>
      </c>
    </row>
    <row r="8" spans="1:4" x14ac:dyDescent="0.3">
      <c r="A8" s="16" t="s">
        <v>8</v>
      </c>
      <c r="B8" s="17">
        <f>IF(性別="男性", 5+10*體重+6.25*身高-5*年齡, 10*體重+6.25*身高-5*年齡-161)</f>
        <v>1453.75</v>
      </c>
    </row>
    <row r="9" spans="1:4" x14ac:dyDescent="0.3">
      <c r="A9" s="43" t="s">
        <v>36</v>
      </c>
      <c r="B9" s="12">
        <f>IF(性別="男性", 活動因子*(66+13.7*體重+5*身高-6.8*年齡), 活動因子*(655+9.6*體重+1.8*身高-4.7*年齡))</f>
        <v>2261.2950000000001</v>
      </c>
    </row>
    <row r="10" spans="1:4" x14ac:dyDescent="0.3">
      <c r="B10" s="13"/>
    </row>
    <row r="11" spans="1:4" x14ac:dyDescent="0.3">
      <c r="B11" s="13"/>
    </row>
    <row r="13" spans="1:4" x14ac:dyDescent="0.3">
      <c r="B13" s="14"/>
    </row>
    <row r="15" spans="1:4" x14ac:dyDescent="0.3">
      <c r="B15" s="14"/>
    </row>
    <row r="16" spans="1:4" x14ac:dyDescent="0.3">
      <c r="B16" s="15"/>
    </row>
  </sheetData>
  <phoneticPr fontId="1" type="noConversion"/>
  <dataValidations count="2">
    <dataValidation type="list" allowBlank="1" showInputMessage="1" showErrorMessage="1" sqref="B5">
      <formula1>"1, 1.200, 1.375, 1.550,1.725, 1.900"</formula1>
    </dataValidation>
    <dataValidation type="list" allowBlank="1" showInputMessage="1" showErrorMessage="1" sqref="B2">
      <formula1>"男性,女性"</formula1>
    </dataValidation>
  </dataValidations>
  <hyperlinks>
    <hyperlink ref="D1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30" zoomScaleNormal="130" workbookViewId="0">
      <selection activeCell="J17" sqref="J17"/>
    </sheetView>
  </sheetViews>
  <sheetFormatPr defaultColWidth="8.88671875" defaultRowHeight="15.6" x14ac:dyDescent="0.3"/>
  <cols>
    <col min="1" max="1" width="20.21875" style="1" bestFit="1" customWidth="1"/>
    <col min="2" max="3" width="8.88671875" style="1" customWidth="1"/>
    <col min="4" max="16384" width="8.88671875" style="1"/>
  </cols>
  <sheetData>
    <row r="1" spans="1:7" x14ac:dyDescent="0.3">
      <c r="A1" s="1" t="s">
        <v>53</v>
      </c>
      <c r="B1" s="2">
        <v>10</v>
      </c>
      <c r="C1" s="1" t="s">
        <v>40</v>
      </c>
    </row>
    <row r="2" spans="1:7" x14ac:dyDescent="0.3">
      <c r="A2" s="1" t="s">
        <v>0</v>
      </c>
      <c r="B2" s="2">
        <v>25</v>
      </c>
      <c r="C2" s="1" t="s">
        <v>56</v>
      </c>
    </row>
    <row r="3" spans="1:7" x14ac:dyDescent="0.3">
      <c r="A3" s="1" t="s">
        <v>54</v>
      </c>
      <c r="B3" s="1">
        <f>一年減重公斤數*7700/12/平均每月運動日數</f>
        <v>256.66666666666669</v>
      </c>
      <c r="C3" s="1" t="s">
        <v>55</v>
      </c>
    </row>
    <row r="6" spans="1:7" ht="15.6" customHeight="1" x14ac:dyDescent="0.3">
      <c r="B6" s="47" t="s">
        <v>0</v>
      </c>
      <c r="C6" s="47"/>
      <c r="D6" s="47"/>
      <c r="E6" s="47"/>
      <c r="F6" s="47"/>
      <c r="G6" s="47"/>
    </row>
    <row r="7" spans="1:7" x14ac:dyDescent="0.3">
      <c r="B7" s="3">
        <f>每日運動量_卡</f>
        <v>256.66666666666669</v>
      </c>
      <c r="C7" s="4">
        <v>10</v>
      </c>
      <c r="D7" s="4">
        <v>15</v>
      </c>
      <c r="E7" s="4">
        <v>20</v>
      </c>
      <c r="F7" s="4">
        <v>25</v>
      </c>
      <c r="G7" s="4">
        <v>30</v>
      </c>
    </row>
    <row r="8" spans="1:7" x14ac:dyDescent="0.3">
      <c r="A8" s="46" t="s">
        <v>1</v>
      </c>
      <c r="B8" s="5">
        <v>1</v>
      </c>
      <c r="C8" s="6">
        <f t="dataTable" ref="C8:G22" dt2D="1" dtr="1" r1="B2" r2="B1"/>
        <v>64.166666666666657</v>
      </c>
      <c r="D8" s="6">
        <v>42.777777777777779</v>
      </c>
      <c r="E8" s="6">
        <v>32.083333333333329</v>
      </c>
      <c r="F8" s="6">
        <v>25.666666666666664</v>
      </c>
      <c r="G8" s="6">
        <v>21.388888888888889</v>
      </c>
    </row>
    <row r="9" spans="1:7" x14ac:dyDescent="0.3">
      <c r="A9" s="46"/>
      <c r="B9" s="5">
        <v>2</v>
      </c>
      <c r="C9" s="7">
        <v>128.33333333333331</v>
      </c>
      <c r="D9" s="7">
        <v>85.555555555555557</v>
      </c>
      <c r="E9" s="7">
        <v>64.166666666666657</v>
      </c>
      <c r="F9" s="7">
        <v>51.333333333333329</v>
      </c>
      <c r="G9" s="7">
        <v>42.777777777777779</v>
      </c>
    </row>
    <row r="10" spans="1:7" x14ac:dyDescent="0.3">
      <c r="A10" s="46"/>
      <c r="B10" s="5">
        <v>3</v>
      </c>
      <c r="C10" s="6">
        <v>192.5</v>
      </c>
      <c r="D10" s="6">
        <v>128.33333333333334</v>
      </c>
      <c r="E10" s="6">
        <v>96.25</v>
      </c>
      <c r="F10" s="6">
        <v>77</v>
      </c>
      <c r="G10" s="6">
        <v>64.166666666666671</v>
      </c>
    </row>
    <row r="11" spans="1:7" x14ac:dyDescent="0.3">
      <c r="A11" s="46"/>
      <c r="B11" s="5">
        <v>4</v>
      </c>
      <c r="C11" s="7">
        <v>256.66666666666663</v>
      </c>
      <c r="D11" s="7">
        <v>171.11111111111111</v>
      </c>
      <c r="E11" s="7">
        <v>128.33333333333331</v>
      </c>
      <c r="F11" s="7">
        <v>102.66666666666666</v>
      </c>
      <c r="G11" s="7">
        <v>85.555555555555557</v>
      </c>
    </row>
    <row r="12" spans="1:7" x14ac:dyDescent="0.3">
      <c r="A12" s="46"/>
      <c r="B12" s="5">
        <v>5</v>
      </c>
      <c r="C12" s="6">
        <v>320.83333333333337</v>
      </c>
      <c r="D12" s="6">
        <v>213.88888888888889</v>
      </c>
      <c r="E12" s="6">
        <v>160.41666666666669</v>
      </c>
      <c r="F12" s="6">
        <v>128.33333333333334</v>
      </c>
      <c r="G12" s="6">
        <v>106.94444444444444</v>
      </c>
    </row>
    <row r="13" spans="1:7" x14ac:dyDescent="0.3">
      <c r="A13" s="46"/>
      <c r="B13" s="5">
        <v>6</v>
      </c>
      <c r="C13" s="7">
        <v>385</v>
      </c>
      <c r="D13" s="7">
        <v>256.66666666666669</v>
      </c>
      <c r="E13" s="7">
        <v>192.5</v>
      </c>
      <c r="F13" s="7">
        <v>154</v>
      </c>
      <c r="G13" s="7">
        <v>128.33333333333334</v>
      </c>
    </row>
    <row r="14" spans="1:7" x14ac:dyDescent="0.3">
      <c r="A14" s="46"/>
      <c r="B14" s="5">
        <v>7</v>
      </c>
      <c r="C14" s="6">
        <v>449.16666666666669</v>
      </c>
      <c r="D14" s="6">
        <v>299.44444444444446</v>
      </c>
      <c r="E14" s="6">
        <v>224.58333333333334</v>
      </c>
      <c r="F14" s="6">
        <v>179.66666666666669</v>
      </c>
      <c r="G14" s="6">
        <v>149.72222222222223</v>
      </c>
    </row>
    <row r="15" spans="1:7" x14ac:dyDescent="0.3">
      <c r="A15" s="46"/>
      <c r="B15" s="5">
        <v>8</v>
      </c>
      <c r="C15" s="7">
        <v>513.33333333333326</v>
      </c>
      <c r="D15" s="7">
        <v>342.22222222222223</v>
      </c>
      <c r="E15" s="7">
        <v>256.66666666666663</v>
      </c>
      <c r="F15" s="7">
        <v>205.33333333333331</v>
      </c>
      <c r="G15" s="7">
        <v>171.11111111111111</v>
      </c>
    </row>
    <row r="16" spans="1:7" x14ac:dyDescent="0.3">
      <c r="A16" s="46"/>
      <c r="B16" s="5">
        <v>9</v>
      </c>
      <c r="C16" s="6">
        <v>577.5</v>
      </c>
      <c r="D16" s="6">
        <v>385</v>
      </c>
      <c r="E16" s="6">
        <v>288.75</v>
      </c>
      <c r="F16" s="6">
        <v>231</v>
      </c>
      <c r="G16" s="6">
        <v>192.5</v>
      </c>
    </row>
    <row r="17" spans="1:7" x14ac:dyDescent="0.3">
      <c r="A17" s="46"/>
      <c r="B17" s="5">
        <v>10</v>
      </c>
      <c r="C17" s="7">
        <v>641.66666666666674</v>
      </c>
      <c r="D17" s="7">
        <v>427.77777777777777</v>
      </c>
      <c r="E17" s="7">
        <v>320.83333333333337</v>
      </c>
      <c r="F17" s="7">
        <v>256.66666666666669</v>
      </c>
      <c r="G17" s="7">
        <v>213.88888888888889</v>
      </c>
    </row>
    <row r="18" spans="1:7" x14ac:dyDescent="0.3">
      <c r="A18" s="46"/>
      <c r="B18" s="5">
        <v>11</v>
      </c>
      <c r="C18" s="6">
        <v>705.83333333333326</v>
      </c>
      <c r="D18" s="6">
        <v>470.55555555555554</v>
      </c>
      <c r="E18" s="6">
        <v>352.91666666666663</v>
      </c>
      <c r="F18" s="6">
        <v>282.33333333333331</v>
      </c>
      <c r="G18" s="6">
        <v>235.27777777777777</v>
      </c>
    </row>
    <row r="19" spans="1:7" x14ac:dyDescent="0.3">
      <c r="A19" s="46"/>
      <c r="B19" s="5">
        <v>12</v>
      </c>
      <c r="C19" s="7">
        <v>770</v>
      </c>
      <c r="D19" s="7">
        <v>513.33333333333337</v>
      </c>
      <c r="E19" s="7">
        <v>385</v>
      </c>
      <c r="F19" s="7">
        <v>308</v>
      </c>
      <c r="G19" s="7">
        <v>256.66666666666669</v>
      </c>
    </row>
    <row r="20" spans="1:7" x14ac:dyDescent="0.3">
      <c r="A20" s="46"/>
      <c r="B20" s="5">
        <v>13</v>
      </c>
      <c r="C20" s="6">
        <v>834.16666666666663</v>
      </c>
      <c r="D20" s="6">
        <v>556.11111111111109</v>
      </c>
      <c r="E20" s="6">
        <v>417.08333333333331</v>
      </c>
      <c r="F20" s="6">
        <v>333.66666666666663</v>
      </c>
      <c r="G20" s="6">
        <v>278.05555555555554</v>
      </c>
    </row>
    <row r="21" spans="1:7" x14ac:dyDescent="0.3">
      <c r="A21" s="46"/>
      <c r="B21" s="5">
        <v>14</v>
      </c>
      <c r="C21" s="7">
        <v>898.33333333333337</v>
      </c>
      <c r="D21" s="7">
        <v>598.88888888888891</v>
      </c>
      <c r="E21" s="7">
        <v>449.16666666666669</v>
      </c>
      <c r="F21" s="7">
        <v>359.33333333333337</v>
      </c>
      <c r="G21" s="7">
        <v>299.44444444444446</v>
      </c>
    </row>
    <row r="22" spans="1:7" x14ac:dyDescent="0.3">
      <c r="A22" s="46"/>
      <c r="B22" s="5">
        <v>15</v>
      </c>
      <c r="C22" s="6">
        <v>962.5</v>
      </c>
      <c r="D22" s="6">
        <v>641.66666666666663</v>
      </c>
      <c r="E22" s="6">
        <v>481.25</v>
      </c>
      <c r="F22" s="6">
        <v>385</v>
      </c>
      <c r="G22" s="6">
        <v>320.83333333333331</v>
      </c>
    </row>
  </sheetData>
  <mergeCells count="2">
    <mergeCell ref="A8:A22"/>
    <mergeCell ref="B6:G6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20</vt:i4>
      </vt:variant>
    </vt:vector>
  </HeadingPairs>
  <TitlesOfParts>
    <vt:vector size="24" baseType="lpstr">
      <vt:lpstr>減重規劃表</vt:lpstr>
      <vt:lpstr>健走及路跑熱量</vt:lpstr>
      <vt:lpstr>每日消耗熱量</vt:lpstr>
      <vt:lpstr>運動量規劃</vt:lpstr>
      <vt:lpstr>cals_burned_per_minute</vt:lpstr>
      <vt:lpstr>oxy_rate</vt:lpstr>
      <vt:lpstr>speed</vt:lpstr>
      <vt:lpstr>VerticalRate</vt:lpstr>
      <vt:lpstr>一年減重公斤數</vt:lpstr>
      <vt:lpstr>平均每月運動日數</vt:lpstr>
      <vt:lpstr>年齡</vt:lpstr>
      <vt:lpstr>每日運動量_卡</vt:lpstr>
      <vt:lpstr>每日熱量需求</vt:lpstr>
      <vt:lpstr>身高</vt:lpstr>
      <vt:lpstr>坡度</vt:lpstr>
      <vt:lpstr>性別</vt:lpstr>
      <vt:lpstr>活動因子</vt:lpstr>
      <vt:lpstr>消耗卡路里</vt:lpstr>
      <vt:lpstr>基礎代謝率</vt:lpstr>
      <vt:lpstr>速度_公里_時</vt:lpstr>
      <vt:lpstr>運動方式</vt:lpstr>
      <vt:lpstr>運動時間_分</vt:lpstr>
      <vt:lpstr>體重</vt:lpstr>
      <vt:lpstr>體重_公斤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test</cp:lastModifiedBy>
  <dcterms:created xsi:type="dcterms:W3CDTF">2017-07-14T11:05:34Z</dcterms:created>
  <dcterms:modified xsi:type="dcterms:W3CDTF">2017-11-27T05:17:31Z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b7fb1137-387e-4724-a81c-70660b3b53e5</vt:lpwstr>
  </property>
</Properties>
</file>