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Smart\SC212\"/>
    </mc:Choice>
  </mc:AlternateContent>
  <bookViews>
    <workbookView xWindow="0" yWindow="0" windowWidth="28800" windowHeight="12390"/>
  </bookViews>
  <sheets>
    <sheet name="規劃表" sheetId="1" r:id="rId1"/>
    <sheet name="工作表1" sheetId="3" r:id="rId2"/>
  </sheets>
  <definedNames>
    <definedName name="可投資金額">規劃表!$M$2</definedName>
    <definedName name="平均報酬率">規劃表!#REF!</definedName>
    <definedName name="目前年齡">規劃表!$M$1</definedName>
    <definedName name="規劃">規劃表!$B$1:$B$3</definedName>
    <definedName name="通貨膨漲率">規劃表!$M$3</definedName>
    <definedName name="報酬率模式">規劃表!$M$4</definedName>
    <definedName name="標準差">規劃表!$B$3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A2" i="3" l="1"/>
  <c r="A1" i="3"/>
  <c r="L17" i="1"/>
  <c r="L8" i="1"/>
  <c r="C19" i="1" s="1"/>
  <c r="A19" i="1"/>
  <c r="B19" i="1" l="1"/>
  <c r="G19" i="1"/>
  <c r="A20" i="1"/>
  <c r="F19" i="1" l="1"/>
  <c r="I19" i="1" s="1"/>
  <c r="B20" i="1"/>
  <c r="C20" i="1" s="1"/>
  <c r="A21" i="1"/>
  <c r="G21" i="1"/>
  <c r="G20" i="1"/>
  <c r="J19" i="1" l="1"/>
  <c r="F20" i="1" s="1"/>
  <c r="B21" i="1"/>
  <c r="C21" i="1" s="1"/>
  <c r="A22" i="1"/>
  <c r="I20" i="1" l="1"/>
  <c r="J20" i="1" s="1"/>
  <c r="F21" i="1" s="1"/>
  <c r="B22" i="1"/>
  <c r="C22" i="1" s="1"/>
  <c r="A23" i="1"/>
  <c r="G22" i="1"/>
  <c r="I21" i="1" l="1"/>
  <c r="J21" i="1" s="1"/>
  <c r="F22" i="1" s="1"/>
  <c r="B23" i="1"/>
  <c r="C23" i="1" s="1"/>
  <c r="A24" i="1"/>
  <c r="G23" i="1"/>
  <c r="I22" i="1" l="1"/>
  <c r="J22" i="1" s="1"/>
  <c r="F23" i="1" s="1"/>
  <c r="B24" i="1"/>
  <c r="C24" i="1" s="1"/>
  <c r="A25" i="1"/>
  <c r="G24" i="1"/>
  <c r="I23" i="1" l="1"/>
  <c r="J23" i="1" s="1"/>
  <c r="F24" i="1" s="1"/>
  <c r="B25" i="1"/>
  <c r="C25" i="1" s="1"/>
  <c r="A26" i="1"/>
  <c r="G25" i="1"/>
  <c r="I24" i="1" l="1"/>
  <c r="J24" i="1" s="1"/>
  <c r="F25" i="1" s="1"/>
  <c r="B26" i="1"/>
  <c r="C26" i="1" s="1"/>
  <c r="A27" i="1"/>
  <c r="G26" i="1"/>
  <c r="I25" i="1" l="1"/>
  <c r="J25" i="1" s="1"/>
  <c r="F26" i="1" s="1"/>
  <c r="B27" i="1"/>
  <c r="C27" i="1" s="1"/>
  <c r="A28" i="1"/>
  <c r="G27" i="1"/>
  <c r="I26" i="1" l="1"/>
  <c r="J26" i="1" s="1"/>
  <c r="F27" i="1" s="1"/>
  <c r="B28" i="1"/>
  <c r="C28" i="1" s="1"/>
  <c r="A29" i="1"/>
  <c r="G28" i="1"/>
  <c r="I27" i="1" l="1"/>
  <c r="J27" i="1" s="1"/>
  <c r="F28" i="1" s="1"/>
  <c r="B29" i="1"/>
  <c r="C29" i="1" s="1"/>
  <c r="A30" i="1"/>
  <c r="B30" i="1" s="1"/>
  <c r="G29" i="1"/>
  <c r="I28" i="1" l="1"/>
  <c r="J28" i="1" s="1"/>
  <c r="F29" i="1" s="1"/>
  <c r="C30" i="1"/>
  <c r="A31" i="1"/>
  <c r="B31" i="1" s="1"/>
  <c r="G30" i="1"/>
  <c r="I29" i="1" l="1"/>
  <c r="J29" i="1" s="1"/>
  <c r="F30" i="1" s="1"/>
  <c r="C31" i="1"/>
  <c r="A32" i="1"/>
  <c r="B32" i="1" s="1"/>
  <c r="G31" i="1"/>
  <c r="C32" i="1" l="1"/>
  <c r="I30" i="1"/>
  <c r="J30" i="1" s="1"/>
  <c r="F31" i="1" s="1"/>
  <c r="A33" i="1"/>
  <c r="B33" i="1" s="1"/>
  <c r="G32" i="1"/>
  <c r="I31" i="1" l="1"/>
  <c r="J31" i="1" s="1"/>
  <c r="F32" i="1" s="1"/>
  <c r="C33" i="1"/>
  <c r="A34" i="1"/>
  <c r="B34" i="1" s="1"/>
  <c r="G33" i="1"/>
  <c r="C34" i="1" l="1"/>
  <c r="I32" i="1"/>
  <c r="J32" i="1" s="1"/>
  <c r="F33" i="1" s="1"/>
  <c r="A35" i="1"/>
  <c r="B35" i="1" s="1"/>
  <c r="G34" i="1"/>
  <c r="I33" i="1" l="1"/>
  <c r="J33" i="1" s="1"/>
  <c r="F34" i="1" s="1"/>
  <c r="C35" i="1"/>
  <c r="A36" i="1"/>
  <c r="B36" i="1" s="1"/>
  <c r="G35" i="1"/>
  <c r="C36" i="1" l="1"/>
  <c r="I34" i="1"/>
  <c r="J34" i="1" s="1"/>
  <c r="F35" i="1" s="1"/>
  <c r="A37" i="1"/>
  <c r="B37" i="1" s="1"/>
  <c r="G36" i="1"/>
  <c r="C37" i="1" l="1"/>
  <c r="I35" i="1"/>
  <c r="J35" i="1" s="1"/>
  <c r="F36" i="1" s="1"/>
  <c r="A38" i="1"/>
  <c r="B38" i="1" s="1"/>
  <c r="G37" i="1"/>
  <c r="I36" i="1" l="1"/>
  <c r="J36" i="1" s="1"/>
  <c r="F37" i="1" s="1"/>
  <c r="C38" i="1"/>
  <c r="A39" i="1"/>
  <c r="B39" i="1" s="1"/>
  <c r="G38" i="1"/>
  <c r="C39" i="1" l="1"/>
  <c r="I37" i="1"/>
  <c r="J37" i="1" s="1"/>
  <c r="F38" i="1" s="1"/>
  <c r="A40" i="1"/>
  <c r="B40" i="1" s="1"/>
  <c r="G39" i="1"/>
  <c r="I38" i="1" l="1"/>
  <c r="J38" i="1" s="1"/>
  <c r="F39" i="1" s="1"/>
  <c r="C40" i="1"/>
  <c r="A41" i="1"/>
  <c r="B41" i="1" s="1"/>
  <c r="G40" i="1"/>
  <c r="C41" i="1" l="1"/>
  <c r="I39" i="1"/>
  <c r="J39" i="1" s="1"/>
  <c r="F40" i="1" s="1"/>
  <c r="A42" i="1"/>
  <c r="B42" i="1" s="1"/>
  <c r="G41" i="1"/>
  <c r="C42" i="1" l="1"/>
  <c r="I40" i="1"/>
  <c r="J40" i="1" s="1"/>
  <c r="F41" i="1" s="1"/>
  <c r="A43" i="1"/>
  <c r="B43" i="1" s="1"/>
  <c r="G42" i="1"/>
  <c r="C43" i="1" l="1"/>
  <c r="I41" i="1"/>
  <c r="J41" i="1" s="1"/>
  <c r="F42" i="1" s="1"/>
  <c r="A44" i="1"/>
  <c r="B44" i="1" s="1"/>
  <c r="G43" i="1"/>
  <c r="C44" i="1" l="1"/>
  <c r="I42" i="1"/>
  <c r="J42" i="1" s="1"/>
  <c r="F43" i="1" s="1"/>
  <c r="A45" i="1"/>
  <c r="B45" i="1" s="1"/>
  <c r="G44" i="1"/>
  <c r="I43" i="1" l="1"/>
  <c r="J43" i="1" s="1"/>
  <c r="F44" i="1" s="1"/>
  <c r="C45" i="1"/>
  <c r="A46" i="1"/>
  <c r="B46" i="1" s="1"/>
  <c r="G45" i="1"/>
  <c r="I44" i="1" l="1"/>
  <c r="J44" i="1" s="1"/>
  <c r="F45" i="1" s="1"/>
  <c r="C46" i="1"/>
  <c r="A47" i="1"/>
  <c r="B47" i="1" s="1"/>
  <c r="G46" i="1"/>
  <c r="C47" i="1" l="1"/>
  <c r="I45" i="1"/>
  <c r="J45" i="1" s="1"/>
  <c r="F46" i="1" s="1"/>
  <c r="A48" i="1"/>
  <c r="B48" i="1" s="1"/>
  <c r="G47" i="1"/>
  <c r="I46" i="1" l="1"/>
  <c r="J46" i="1" s="1"/>
  <c r="F47" i="1" s="1"/>
  <c r="C48" i="1"/>
  <c r="A49" i="1"/>
  <c r="G48" i="1"/>
  <c r="I47" i="1" l="1"/>
  <c r="J47" i="1" s="1"/>
  <c r="F48" i="1" s="1"/>
  <c r="B49" i="1"/>
  <c r="C49" i="1" s="1"/>
  <c r="A50" i="1"/>
  <c r="G49" i="1"/>
  <c r="I48" i="1" l="1"/>
  <c r="J48" i="1" s="1"/>
  <c r="F49" i="1" s="1"/>
  <c r="B50" i="1"/>
  <c r="C50" i="1" s="1"/>
  <c r="A51" i="1"/>
  <c r="G50" i="1"/>
  <c r="I49" i="1" l="1"/>
  <c r="J49" i="1" s="1"/>
  <c r="F50" i="1" s="1"/>
  <c r="B51" i="1"/>
  <c r="C51" i="1" s="1"/>
  <c r="A52" i="1"/>
  <c r="G51" i="1"/>
  <c r="I50" i="1" l="1"/>
  <c r="J50" i="1" s="1"/>
  <c r="F51" i="1" s="1"/>
  <c r="B52" i="1"/>
  <c r="C52" i="1" s="1"/>
  <c r="A53" i="1"/>
  <c r="G52" i="1"/>
  <c r="I51" i="1" l="1"/>
  <c r="J51" i="1" s="1"/>
  <c r="F52" i="1" s="1"/>
  <c r="B53" i="1"/>
  <c r="C53" i="1" s="1"/>
  <c r="A54" i="1"/>
  <c r="G53" i="1"/>
  <c r="I52" i="1" l="1"/>
  <c r="J52" i="1" s="1"/>
  <c r="F53" i="1" s="1"/>
  <c r="B54" i="1"/>
  <c r="C54" i="1" s="1"/>
  <c r="G54" i="1"/>
  <c r="I53" i="1" l="1"/>
  <c r="J53" i="1" s="1"/>
  <c r="F54" i="1" s="1"/>
  <c r="I54" i="1" l="1"/>
  <c r="J54" i="1" s="1"/>
</calcChain>
</file>

<file path=xl/sharedStrings.xml><?xml version="1.0" encoding="utf-8"?>
<sst xmlns="http://schemas.openxmlformats.org/spreadsheetml/2006/main" count="32" uniqueCount="26">
  <si>
    <t>投資報酬率</t>
    <phoneticPr fontId="2" type="noConversion"/>
  </si>
  <si>
    <t>通貨膨漲率</t>
    <phoneticPr fontId="2" type="noConversion"/>
  </si>
  <si>
    <t>年齡</t>
    <phoneticPr fontId="2" type="noConversion"/>
  </si>
  <si>
    <t>年收入</t>
    <phoneticPr fontId="2" type="noConversion"/>
  </si>
  <si>
    <t>投資收入</t>
    <phoneticPr fontId="2" type="noConversion"/>
  </si>
  <si>
    <t>收支淨額</t>
    <phoneticPr fontId="2" type="noConversion"/>
  </si>
  <si>
    <t>結餘</t>
    <phoneticPr fontId="2" type="noConversion"/>
  </si>
  <si>
    <t>平均報酬率</t>
    <phoneticPr fontId="2" type="noConversion"/>
  </si>
  <si>
    <t>標準差</t>
    <phoneticPr fontId="2" type="noConversion"/>
  </si>
  <si>
    <t>報酬率模式</t>
    <phoneticPr fontId="2" type="noConversion"/>
  </si>
  <si>
    <t>年齡(起)</t>
    <phoneticPr fontId="2" type="noConversion"/>
  </si>
  <si>
    <t>年支出</t>
    <phoneticPr fontId="2" type="noConversion"/>
  </si>
  <si>
    <t>收入成長率</t>
    <phoneticPr fontId="2" type="noConversion"/>
  </si>
  <si>
    <t>年支出2</t>
    <phoneticPr fontId="2" type="noConversion"/>
  </si>
  <si>
    <t>支出表</t>
    <phoneticPr fontId="2" type="noConversion"/>
  </si>
  <si>
    <t>報酬率表</t>
    <phoneticPr fontId="2" type="noConversion"/>
  </si>
  <si>
    <t>成長率</t>
    <phoneticPr fontId="2" type="noConversion"/>
  </si>
  <si>
    <t>金額</t>
    <phoneticPr fontId="2" type="noConversion"/>
  </si>
  <si>
    <t>收入表</t>
    <phoneticPr fontId="2" type="noConversion"/>
  </si>
  <si>
    <t>年收入2</t>
    <phoneticPr fontId="2" type="noConversion"/>
  </si>
  <si>
    <t>目前年齡</t>
    <phoneticPr fontId="2" type="noConversion"/>
  </si>
  <si>
    <t>可投資金額</t>
    <phoneticPr fontId="2" type="noConversion"/>
  </si>
  <si>
    <t>財務規劃表</t>
    <phoneticPr fontId="2" type="noConversion"/>
  </si>
  <si>
    <t>同上</t>
    <phoneticPr fontId="2" type="noConversion"/>
  </si>
  <si>
    <t>按F9鍵重新模擬一次</t>
    <phoneticPr fontId="2" type="noConversion"/>
  </si>
  <si>
    <t>規劃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</si>
</sst>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 ;[Red]\-#,##0\ "/>
    <numFmt numFmtId="178" formatCode="0.000%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2" tint="-0.89999084444715716"/>
      <name val="微軟正黑體"/>
      <family val="2"/>
      <charset val="136"/>
    </font>
    <font>
      <b/>
      <sz val="12"/>
      <color rgb="FF0070C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1" xfId="0" applyFont="1" applyFill="1" applyBorder="1">
      <alignment vertical="center"/>
    </xf>
    <xf numFmtId="0" fontId="4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9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</cellXfs>
  <cellStyles count="2">
    <cellStyle name="一般" xfId="0" builtinId="0"/>
    <cellStyle name="百分比" xfId="1" builtinId="5"/>
  </cellStyles>
  <dxfs count="26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2" tint="-0.89999084444715716"/>
        <name val="微軟正黑體"/>
        <scheme val="none"/>
      </font>
      <alignment horizontal="center" vertical="center" textRotation="0" wrapText="0" indent="0" justifyLastLine="0" shrinkToFit="0" readingOrder="0"/>
    </dxf>
    <dxf>
      <numFmt numFmtId="176" formatCode="0.0%"/>
    </dxf>
    <dxf>
      <numFmt numFmtId="17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89999084444715716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2" tint="-0.89999084444715716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年度結餘圖</a:t>
            </a:r>
          </a:p>
        </c:rich>
      </c:tx>
      <c:layout>
        <c:manualLayout>
          <c:xMode val="edge"/>
          <c:yMode val="edge"/>
          <c:x val="0.4430090034108356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1137902990480392"/>
          <c:y val="3.4513250226707509E-2"/>
          <c:w val="0.87192766025278712"/>
          <c:h val="0.85182708736314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規劃表!$J$18</c:f>
              <c:strCache>
                <c:ptCount val="1"/>
                <c:pt idx="0">
                  <c:v>結餘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規劃表!$A$19:$A$54</c:f>
              <c:numCache>
                <c:formatCode>General</c:formatCode>
                <c:ptCount val="36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</c:numCache>
            </c:numRef>
          </c:cat>
          <c:val>
            <c:numRef>
              <c:f>規劃表!$J$19:$J$54</c:f>
              <c:numCache>
                <c:formatCode>#,##0_ ;[Red]\-#,##0\ </c:formatCode>
                <c:ptCount val="36"/>
                <c:pt idx="0">
                  <c:v>1490000</c:v>
                </c:pt>
                <c:pt idx="1">
                  <c:v>2056100</c:v>
                </c:pt>
                <c:pt idx="2">
                  <c:v>2706989</c:v>
                </c:pt>
                <c:pt idx="3">
                  <c:v>3452234.81</c:v>
                </c:pt>
                <c:pt idx="4">
                  <c:v>4302368.0789000001</c:v>
                </c:pt>
                <c:pt idx="5">
                  <c:v>5268974.1347209997</c:v>
                </c:pt>
                <c:pt idx="6">
                  <c:v>6364793.3516402896</c:v>
                </c:pt>
                <c:pt idx="7">
                  <c:v>7603830.8243532041</c:v>
                </c:pt>
                <c:pt idx="8">
                  <c:v>9001476.2011753358</c:v>
                </c:pt>
                <c:pt idx="9">
                  <c:v>10574634.604615005</c:v>
                </c:pt>
                <c:pt idx="10">
                  <c:v>11983656.266906973</c:v>
                </c:pt>
                <c:pt idx="11">
                  <c:v>13517468.334858421</c:v>
                </c:pt>
                <c:pt idx="12">
                  <c:v>15185712.802986482</c:v>
                </c:pt>
                <c:pt idx="13">
                  <c:v>16998736.24339696</c:v>
                </c:pt>
                <c:pt idx="14">
                  <c:v>18967640.064114481</c:v>
                </c:pt>
                <c:pt idx="15">
                  <c:v>21104334.314607937</c:v>
                </c:pt>
                <c:pt idx="16">
                  <c:v>23421595.28770772</c:v>
                </c:pt>
                <c:pt idx="17">
                  <c:v>25933127.184582256</c:v>
                </c:pt>
                <c:pt idx="18">
                  <c:v>28653628.12813602</c:v>
                </c:pt>
                <c:pt idx="19">
                  <c:v>31598860.830195419</c:v>
                </c:pt>
                <c:pt idx="20">
                  <c:v>33806525.013874121</c:v>
                </c:pt>
                <c:pt idx="21">
                  <c:v>36103769.143193059</c:v>
                </c:pt>
                <c:pt idx="22">
                  <c:v>38494656.150163375</c:v>
                </c:pt>
                <c:pt idx="23">
                  <c:v>40983443.792091347</c:v>
                </c:pt>
                <c:pt idx="24">
                  <c:v>43574594.226417035</c:v>
                </c:pt>
                <c:pt idx="25">
                  <c:v>46272784.060966358</c:v>
                </c:pt>
                <c:pt idx="26">
                  <c:v>49082914.90332064</c:v>
                </c:pt>
                <c:pt idx="27">
                  <c:v>52010124.434191681</c:v>
                </c:pt>
                <c:pt idx="28">
                  <c:v>55059798.030933298</c:v>
                </c:pt>
                <c:pt idx="29">
                  <c:v>58237580.96862556</c:v>
                </c:pt>
                <c:pt idx="30">
                  <c:v>59639699.177703403</c:v>
                </c:pt>
                <c:pt idx="31">
                  <c:v>61074354.41455102</c:v>
                </c:pt>
                <c:pt idx="32">
                  <c:v>62542377.206267327</c:v>
                </c:pt>
                <c:pt idx="33">
                  <c:v>64044621.881954968</c:v>
                </c:pt>
                <c:pt idx="34">
                  <c:v>65581967.33641886</c:v>
                </c:pt>
                <c:pt idx="35">
                  <c:v>67155317.820645019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859400"/>
        <c:axId val="400862536"/>
      </c:barChart>
      <c:catAx>
        <c:axId val="40085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400862536"/>
        <c:crosses val="autoZero"/>
        <c:auto val="1"/>
        <c:lblAlgn val="ctr"/>
        <c:lblOffset val="100"/>
        <c:noMultiLvlLbl val="0"/>
      </c:catAx>
      <c:valAx>
        <c:axId val="40086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400859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31349</xdr:rowOff>
    </xdr:from>
    <xdr:to>
      <xdr:col>10</xdr:col>
      <xdr:colOff>9525</xdr:colOff>
      <xdr:row>15</xdr:row>
      <xdr:rowOff>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390525</xdr:colOff>
      <xdr:row>0</xdr:row>
      <xdr:rowOff>76200</xdr:rowOff>
    </xdr:from>
    <xdr:to>
      <xdr:col>18</xdr:col>
      <xdr:colOff>133350</xdr:colOff>
      <xdr:row>5</xdr:row>
      <xdr:rowOff>85725</xdr:rowOff>
    </xdr:to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76200"/>
          <a:ext cx="2486025" cy="1019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財務規劃表" displayName="財務規劃表" ref="A18:J54" totalsRowShown="0" headerRowDxfId="24" dataDxfId="23">
  <tableColumns count="10">
    <tableColumn id="1" name="年齡" dataDxfId="22">
      <calculatedColumnFormula>A18+1</calculatedColumnFormula>
    </tableColumn>
    <tableColumn id="9" name="收入成長率" dataDxfId="21"/>
    <tableColumn id="2" name="年收入" dataDxfId="20"/>
    <tableColumn id="6" name="年收入2" dataDxfId="19"/>
    <tableColumn id="3" name="投資報酬率" dataDxfId="18">
      <calculatedColumnFormula>IF(報酬率模式="規劃",VLOOKUP(財務規劃表[[#This Row],[年齡]],表格4[],2),NORMINV(RAND(),VLOOKUP(財務規劃表[[#This Row],[年齡]],表格4[],2),VLOOKUP(財務規劃表[[#This Row],[年齡]],表格4[],3)))</calculatedColumnFormula>
    </tableColumn>
    <tableColumn id="4" name="投資收入" dataDxfId="17"/>
    <tableColumn id="5" name="年支出" dataDxfId="16"/>
    <tableColumn id="10" name="年支出2" dataDxfId="15"/>
    <tableColumn id="7" name="收支淨額" dataDxfId="14"/>
    <tableColumn id="8" name="結餘" dataDxfId="1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支出表" displayName="支出表" ref="L16:M21" totalsRowShown="0" headerRowDxfId="12" dataDxfId="11">
  <tableColumns count="2">
    <tableColumn id="1" name="年齡(起)" dataDxfId="10"/>
    <tableColumn id="3" name="年支出" dataDxfId="9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4" name="表格4" displayName="表格4" ref="L24:N28" totalsRowShown="0" headerRowDxfId="8">
  <tableColumns count="3">
    <tableColumn id="1" name="年齡(起)" dataDxfId="7"/>
    <tableColumn id="2" name="平均報酬率" dataDxfId="6"/>
    <tableColumn id="3" name="標準差" dataDxfId="5">
      <calculatedColumnFormula>表格4[[#This Row],[平均報酬率]]*1.2</calculatedColumnFormula>
    </tableColumn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id="1" name="收入表" displayName="收入表" ref="L7:N13" totalsRowShown="0" headerRowDxfId="4" dataDxfId="3">
  <tableColumns count="3">
    <tableColumn id="1" name="年齡(起)" dataDxfId="2"/>
    <tableColumn id="2" name="金額" dataDxfId="1"/>
    <tableColumn id="3" name="成長率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M4" sqref="M4"/>
    </sheetView>
  </sheetViews>
  <sheetFormatPr defaultRowHeight="15.75" x14ac:dyDescent="0.25"/>
  <cols>
    <col min="1" max="1" width="12" style="1" customWidth="1"/>
    <col min="2" max="2" width="12.125" style="1" bestFit="1" customWidth="1"/>
    <col min="3" max="3" width="13.375" style="1" customWidth="1"/>
    <col min="4" max="4" width="10.125" style="1" customWidth="1"/>
    <col min="5" max="5" width="9.5" style="1" customWidth="1"/>
    <col min="6" max="6" width="11.625" style="1" bestFit="1" customWidth="1"/>
    <col min="7" max="7" width="10.875" style="1" customWidth="1"/>
    <col min="8" max="8" width="11.25" style="1" bestFit="1" customWidth="1"/>
    <col min="9" max="9" width="11.625" style="1" bestFit="1" customWidth="1"/>
    <col min="10" max="10" width="12.5" style="1" bestFit="1" customWidth="1"/>
    <col min="11" max="11" width="4" style="1" customWidth="1"/>
    <col min="12" max="12" width="13.25" style="1" customWidth="1"/>
    <col min="13" max="13" width="11.25" style="1" bestFit="1" customWidth="1"/>
    <col min="14" max="14" width="15.375" style="1" customWidth="1"/>
    <col min="15" max="16384" width="9" style="1"/>
  </cols>
  <sheetData>
    <row r="1" spans="1:14" x14ac:dyDescent="0.25">
      <c r="L1" s="9" t="s">
        <v>20</v>
      </c>
      <c r="M1" s="15">
        <v>35</v>
      </c>
    </row>
    <row r="2" spans="1:14" x14ac:dyDescent="0.25">
      <c r="L2" s="9" t="s">
        <v>21</v>
      </c>
      <c r="M2" s="16">
        <v>1000000</v>
      </c>
    </row>
    <row r="3" spans="1:14" x14ac:dyDescent="0.25">
      <c r="A3" s="7"/>
      <c r="B3" s="7"/>
      <c r="L3" s="9" t="s">
        <v>1</v>
      </c>
      <c r="M3" s="6">
        <v>0.02</v>
      </c>
    </row>
    <row r="4" spans="1:14" ht="16.5" x14ac:dyDescent="0.25">
      <c r="A4" s="7"/>
      <c r="B4" s="7"/>
      <c r="L4" s="9" t="s">
        <v>9</v>
      </c>
      <c r="M4" s="5" t="s">
        <v>25</v>
      </c>
      <c r="N4" s="20" t="s">
        <v>24</v>
      </c>
    </row>
    <row r="5" spans="1:14" x14ac:dyDescent="0.25">
      <c r="A5" s="7"/>
    </row>
    <row r="6" spans="1:14" ht="16.5" x14ac:dyDescent="0.25">
      <c r="A6" s="7"/>
      <c r="L6" s="10" t="s">
        <v>18</v>
      </c>
    </row>
    <row r="7" spans="1:14" x14ac:dyDescent="0.25">
      <c r="A7" s="7"/>
      <c r="L7" s="18" t="s">
        <v>10</v>
      </c>
      <c r="M7" s="18" t="s">
        <v>17</v>
      </c>
      <c r="N7" s="18" t="s">
        <v>16</v>
      </c>
    </row>
    <row r="8" spans="1:14" x14ac:dyDescent="0.25">
      <c r="A8" s="7"/>
      <c r="L8" s="2">
        <f>目前年齡</f>
        <v>35</v>
      </c>
      <c r="M8" s="11">
        <v>800000</v>
      </c>
      <c r="N8" s="13"/>
    </row>
    <row r="9" spans="1:14" x14ac:dyDescent="0.25">
      <c r="A9" s="7"/>
      <c r="L9" s="8">
        <v>36</v>
      </c>
      <c r="M9" s="12" t="s">
        <v>23</v>
      </c>
      <c r="N9" s="13">
        <v>0.05</v>
      </c>
    </row>
    <row r="10" spans="1:14" x14ac:dyDescent="0.25">
      <c r="A10" s="7"/>
      <c r="L10" s="8">
        <v>45</v>
      </c>
      <c r="M10" s="12" t="s">
        <v>23</v>
      </c>
      <c r="N10" s="13">
        <v>0.03</v>
      </c>
    </row>
    <row r="11" spans="1:14" x14ac:dyDescent="0.25">
      <c r="A11" s="7"/>
      <c r="L11" s="8">
        <v>55</v>
      </c>
      <c r="M11" s="12" t="s">
        <v>23</v>
      </c>
      <c r="N11" s="13">
        <v>0</v>
      </c>
    </row>
    <row r="12" spans="1:14" x14ac:dyDescent="0.25">
      <c r="A12" s="7"/>
      <c r="L12" s="8">
        <v>65</v>
      </c>
      <c r="M12" s="12">
        <v>250000</v>
      </c>
      <c r="N12" s="13"/>
    </row>
    <row r="13" spans="1:14" x14ac:dyDescent="0.25">
      <c r="A13" s="7"/>
      <c r="L13" s="2">
        <v>66</v>
      </c>
      <c r="M13" s="12" t="s">
        <v>23</v>
      </c>
      <c r="N13" s="13">
        <v>0</v>
      </c>
    </row>
    <row r="14" spans="1:14" x14ac:dyDescent="0.25">
      <c r="A14" s="7"/>
    </row>
    <row r="15" spans="1:14" ht="16.5" x14ac:dyDescent="0.25">
      <c r="A15" s="7"/>
      <c r="L15" s="10" t="s">
        <v>14</v>
      </c>
    </row>
    <row r="16" spans="1:14" x14ac:dyDescent="0.25">
      <c r="A16" s="7"/>
      <c r="L16" s="18" t="s">
        <v>10</v>
      </c>
      <c r="M16" s="18" t="s">
        <v>11</v>
      </c>
    </row>
    <row r="17" spans="1:14" ht="16.5" x14ac:dyDescent="0.25">
      <c r="A17" s="17" t="s">
        <v>22</v>
      </c>
      <c r="L17" s="2">
        <f>目前年齡</f>
        <v>35</v>
      </c>
      <c r="M17" s="3">
        <v>400000</v>
      </c>
    </row>
    <row r="18" spans="1:14" x14ac:dyDescent="0.25">
      <c r="A18" s="2" t="s">
        <v>2</v>
      </c>
      <c r="B18" s="2" t="s">
        <v>12</v>
      </c>
      <c r="C18" s="2" t="s">
        <v>3</v>
      </c>
      <c r="D18" s="2" t="s">
        <v>19</v>
      </c>
      <c r="E18" s="2" t="s">
        <v>0</v>
      </c>
      <c r="F18" s="2" t="s">
        <v>4</v>
      </c>
      <c r="G18" s="2" t="s">
        <v>11</v>
      </c>
      <c r="H18" s="2" t="s">
        <v>13</v>
      </c>
      <c r="I18" s="2" t="s">
        <v>5</v>
      </c>
      <c r="J18" s="2" t="s">
        <v>6</v>
      </c>
      <c r="L18" s="8">
        <v>45</v>
      </c>
      <c r="M18" s="3">
        <v>500000</v>
      </c>
    </row>
    <row r="19" spans="1:14" x14ac:dyDescent="0.25">
      <c r="A19" s="2">
        <f>M1</f>
        <v>35</v>
      </c>
      <c r="B19" s="4">
        <f>VLOOKUP(財務規劃表[[#This Row],[年齡]],收入表[],3)</f>
        <v>0</v>
      </c>
      <c r="C19" s="3">
        <f>IF(ISNUMBER(VLOOKUP(財務規劃表[[#This Row],[年齡]],收入表[],2)),VLOOKUP(財務規劃表[[#This Row],[年齡]],收入表[],2),"錯誤")</f>
        <v>800000</v>
      </c>
      <c r="D19" s="3"/>
      <c r="E19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19" s="3">
        <f ca="1">可投資金額*財務規劃表[[#This Row],[投資報酬率]]</f>
        <v>90000</v>
      </c>
      <c r="G19" s="3">
        <f>VLOOKUP(財務規劃表[[#This Row],[年齡]],支出表[],2)</f>
        <v>400000</v>
      </c>
      <c r="H19" s="3"/>
      <c r="I19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490000</v>
      </c>
      <c r="J19" s="3">
        <f ca="1">可投資金額+財務規劃表[[#This Row],[收支淨額]]</f>
        <v>1490000</v>
      </c>
      <c r="L19" s="8">
        <v>55</v>
      </c>
      <c r="M19" s="3">
        <v>700000</v>
      </c>
    </row>
    <row r="20" spans="1:14" x14ac:dyDescent="0.25">
      <c r="A20" s="2">
        <f>A19+1</f>
        <v>36</v>
      </c>
      <c r="B20" s="4">
        <f>VLOOKUP(財務規劃表[[#This Row],[年齡]],收入表[],3)</f>
        <v>0.05</v>
      </c>
      <c r="C20" s="3">
        <f>IF(ISNUMBER(VLOOKUP(財務規劃表[[#This Row],[年齡]],收入表[],2)),VLOOKUP(財務規劃表[[#This Row],[年齡]],收入表[],2),C19*(1+財務規劃表[[#This Row],[收入成長率]]))</f>
        <v>840000</v>
      </c>
      <c r="D20" s="3"/>
      <c r="E20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0" s="3">
        <f ca="1">J19*財務規劃表[[#This Row],[投資報酬率]]</f>
        <v>134100</v>
      </c>
      <c r="G20" s="3">
        <f>VLOOKUP(財務規劃表[[#This Row],[年齡]],支出表[],2)</f>
        <v>400000</v>
      </c>
      <c r="H20" s="3"/>
      <c r="I20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566100</v>
      </c>
      <c r="J20" s="3">
        <f ca="1">J19+財務規劃表[[#This Row],[收支淨額]]</f>
        <v>2056100</v>
      </c>
      <c r="L20" s="8">
        <v>65</v>
      </c>
      <c r="M20" s="3">
        <v>650000</v>
      </c>
    </row>
    <row r="21" spans="1:14" x14ac:dyDescent="0.25">
      <c r="A21" s="2">
        <f t="shared" ref="A21:A34" si="0">A20+1</f>
        <v>37</v>
      </c>
      <c r="B21" s="4">
        <f>VLOOKUP(財務規劃表[[#This Row],[年齡]],收入表[],3)</f>
        <v>0.05</v>
      </c>
      <c r="C21" s="3">
        <f>IF(ISNUMBER(VLOOKUP(財務規劃表[[#This Row],[年齡]],收入表[],2)),VLOOKUP(財務規劃表[[#This Row],[年齡]],收入表[],2),C20*(1+財務規劃表[[#This Row],[收入成長率]]))</f>
        <v>882000</v>
      </c>
      <c r="D21" s="3"/>
      <c r="E21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1" s="3">
        <f ca="1">J20*財務規劃表[[#This Row],[投資報酬率]]</f>
        <v>185049</v>
      </c>
      <c r="G21" s="3">
        <f>VLOOKUP(財務規劃表[[#This Row],[年齡]],支出表[],2)</f>
        <v>400000</v>
      </c>
      <c r="H21" s="3"/>
      <c r="I21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650889</v>
      </c>
      <c r="J21" s="3">
        <f ca="1">J20+財務規劃表[[#This Row],[收支淨額]]</f>
        <v>2706989</v>
      </c>
      <c r="L21" s="8">
        <v>80</v>
      </c>
      <c r="M21" s="3">
        <v>400000</v>
      </c>
    </row>
    <row r="22" spans="1:14" x14ac:dyDescent="0.25">
      <c r="A22" s="2">
        <f t="shared" si="0"/>
        <v>38</v>
      </c>
      <c r="B22" s="4">
        <f>VLOOKUP(財務規劃表[[#This Row],[年齡]],收入表[],3)</f>
        <v>0.05</v>
      </c>
      <c r="C22" s="3">
        <f>IF(ISNUMBER(VLOOKUP(財務規劃表[[#This Row],[年齡]],收入表[],2)),VLOOKUP(財務規劃表[[#This Row],[年齡]],收入表[],2),C21*(1+財務規劃表[[#This Row],[收入成長率]]))</f>
        <v>926100</v>
      </c>
      <c r="D22" s="3"/>
      <c r="E22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2" s="3">
        <f ca="1">J21*財務規劃表[[#This Row],[投資報酬率]]</f>
        <v>243629.00999999998</v>
      </c>
      <c r="G22" s="3">
        <f>VLOOKUP(財務規劃表[[#This Row],[年齡]],支出表[],2)</f>
        <v>400000</v>
      </c>
      <c r="H22" s="3"/>
      <c r="I22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745245.81</v>
      </c>
      <c r="J22" s="3">
        <f ca="1">J21+財務規劃表[[#This Row],[收支淨額]]</f>
        <v>3452234.81</v>
      </c>
    </row>
    <row r="23" spans="1:14" ht="16.5" x14ac:dyDescent="0.25">
      <c r="A23" s="2">
        <f t="shared" si="0"/>
        <v>39</v>
      </c>
      <c r="B23" s="4">
        <f>VLOOKUP(財務規劃表[[#This Row],[年齡]],收入表[],3)</f>
        <v>0.05</v>
      </c>
      <c r="C23" s="3">
        <f>IF(ISNUMBER(VLOOKUP(財務規劃表[[#This Row],[年齡]],收入表[],2)),VLOOKUP(財務規劃表[[#This Row],[年齡]],收入表[],2),C22*(1+財務規劃表[[#This Row],[收入成長率]]))</f>
        <v>972405</v>
      </c>
      <c r="D23" s="3"/>
      <c r="E23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3" s="3">
        <f ca="1">J22*財務規劃表[[#This Row],[投資報酬率]]</f>
        <v>310701.13289999997</v>
      </c>
      <c r="G23" s="3">
        <f>VLOOKUP(財務規劃表[[#This Row],[年齡]],支出表[],2)</f>
        <v>400000</v>
      </c>
      <c r="H23" s="3"/>
      <c r="I23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850133.26890000002</v>
      </c>
      <c r="J23" s="3">
        <f ca="1">J22+財務規劃表[[#This Row],[收支淨額]]</f>
        <v>4302368.0789000001</v>
      </c>
      <c r="L23" s="10" t="s">
        <v>15</v>
      </c>
    </row>
    <row r="24" spans="1:14" x14ac:dyDescent="0.25">
      <c r="A24" s="2">
        <f t="shared" si="0"/>
        <v>40</v>
      </c>
      <c r="B24" s="4">
        <f>VLOOKUP(財務規劃表[[#This Row],[年齡]],收入表[],3)</f>
        <v>0.05</v>
      </c>
      <c r="C24" s="3">
        <f>IF(ISNUMBER(VLOOKUP(財務規劃表[[#This Row],[年齡]],收入表[],2)),VLOOKUP(財務規劃表[[#This Row],[年齡]],收入表[],2),C23*(1+財務規劃表[[#This Row],[收入成長率]]))</f>
        <v>1021025.25</v>
      </c>
      <c r="D24" s="3"/>
      <c r="E24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4" s="3">
        <f ca="1">J23*財務規劃表[[#This Row],[投資報酬率]]</f>
        <v>387213.12710099999</v>
      </c>
      <c r="G24" s="3">
        <f>VLOOKUP(財務規劃表[[#This Row],[年齡]],支出表[],2)</f>
        <v>400000</v>
      </c>
      <c r="H24" s="3"/>
      <c r="I24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966606.0558209999</v>
      </c>
      <c r="J24" s="3">
        <f ca="1">J23+財務規劃表[[#This Row],[收支淨額]]</f>
        <v>5268974.1347209997</v>
      </c>
      <c r="L24" s="18" t="s">
        <v>10</v>
      </c>
      <c r="M24" s="18" t="s">
        <v>7</v>
      </c>
      <c r="N24" s="18" t="s">
        <v>8</v>
      </c>
    </row>
    <row r="25" spans="1:14" x14ac:dyDescent="0.25">
      <c r="A25" s="2">
        <f t="shared" si="0"/>
        <v>41</v>
      </c>
      <c r="B25" s="4">
        <f>VLOOKUP(財務規劃表[[#This Row],[年齡]],收入表[],3)</f>
        <v>0.05</v>
      </c>
      <c r="C25" s="3">
        <f>IF(ISNUMBER(VLOOKUP(財務規劃表[[#This Row],[年齡]],收入表[],2)),VLOOKUP(財務規劃表[[#This Row],[年齡]],收入表[],2),C24*(1+財務規劃表[[#This Row],[收入成長率]]))</f>
        <v>1072076.5125</v>
      </c>
      <c r="D25" s="3"/>
      <c r="E25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5" s="3">
        <f ca="1">J24*財務規劃表[[#This Row],[投資報酬率]]</f>
        <v>474207.67212488997</v>
      </c>
      <c r="G25" s="3">
        <f>VLOOKUP(財務規劃表[[#This Row],[年齡]],支出表[],2)</f>
        <v>400000</v>
      </c>
      <c r="H25" s="3"/>
      <c r="I25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1095819.2169192899</v>
      </c>
      <c r="J25" s="3">
        <f ca="1">J24+財務規劃表[[#This Row],[收支淨額]]</f>
        <v>6364793.3516402896</v>
      </c>
      <c r="L25" s="2">
        <v>35</v>
      </c>
      <c r="M25" s="4">
        <v>0.09</v>
      </c>
      <c r="N25" s="19">
        <v>0.108</v>
      </c>
    </row>
    <row r="26" spans="1:14" x14ac:dyDescent="0.25">
      <c r="A26" s="2">
        <f t="shared" si="0"/>
        <v>42</v>
      </c>
      <c r="B26" s="4">
        <f>VLOOKUP(財務規劃表[[#This Row],[年齡]],收入表[],3)</f>
        <v>0.05</v>
      </c>
      <c r="C26" s="3">
        <f>IF(ISNUMBER(VLOOKUP(財務規劃表[[#This Row],[年齡]],收入表[],2)),VLOOKUP(財務規劃表[[#This Row],[年齡]],收入表[],2),C25*(1+財務規劃表[[#This Row],[收入成長率]]))</f>
        <v>1125680.338125</v>
      </c>
      <c r="D26" s="3"/>
      <c r="E26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6" s="3">
        <f ca="1">J25*財務規劃表[[#This Row],[投資報酬率]]</f>
        <v>572831.40164762607</v>
      </c>
      <c r="G26" s="3">
        <f>VLOOKUP(財務規劃表[[#This Row],[年齡]],支出表[],2)</f>
        <v>400000</v>
      </c>
      <c r="H26" s="3"/>
      <c r="I26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1239037.4727129142</v>
      </c>
      <c r="J26" s="3">
        <f ca="1">J25+財務規劃表[[#This Row],[收支淨額]]</f>
        <v>7603830.8243532041</v>
      </c>
      <c r="L26" s="2">
        <v>45</v>
      </c>
      <c r="M26" s="4">
        <v>7.0000000000000007E-2</v>
      </c>
      <c r="N26" s="4">
        <v>8.4000000000000005E-2</v>
      </c>
    </row>
    <row r="27" spans="1:14" x14ac:dyDescent="0.25">
      <c r="A27" s="2">
        <f t="shared" si="0"/>
        <v>43</v>
      </c>
      <c r="B27" s="4">
        <f>VLOOKUP(財務規劃表[[#This Row],[年齡]],收入表[],3)</f>
        <v>0.05</v>
      </c>
      <c r="C27" s="3">
        <f>IF(ISNUMBER(VLOOKUP(財務規劃表[[#This Row],[年齡]],收入表[],2)),VLOOKUP(財務規劃表[[#This Row],[年齡]],收入表[],2),C26*(1+財務規劃表[[#This Row],[收入成長率]]))</f>
        <v>1181964.35503125</v>
      </c>
      <c r="D27" s="3"/>
      <c r="E27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7" s="3">
        <f ca="1">J26*財務規劃表[[#This Row],[投資報酬率]]</f>
        <v>684344.7741917884</v>
      </c>
      <c r="G27" s="3">
        <f>VLOOKUP(財務規劃表[[#This Row],[年齡]],支出表[],2)</f>
        <v>400000</v>
      </c>
      <c r="H27" s="3"/>
      <c r="I27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1397645.3768221322</v>
      </c>
      <c r="J27" s="3">
        <f ca="1">J26+財務規劃表[[#This Row],[收支淨額]]</f>
        <v>9001476.2011753358</v>
      </c>
      <c r="L27" s="2">
        <v>55</v>
      </c>
      <c r="M27" s="4">
        <v>0.05</v>
      </c>
      <c r="N27" s="4">
        <v>0.06</v>
      </c>
    </row>
    <row r="28" spans="1:14" x14ac:dyDescent="0.25">
      <c r="A28" s="2">
        <f t="shared" si="0"/>
        <v>44</v>
      </c>
      <c r="B28" s="4">
        <f>VLOOKUP(財務規劃表[[#This Row],[年齡]],收入表[],3)</f>
        <v>0.05</v>
      </c>
      <c r="C28" s="3">
        <f>IF(ISNUMBER(VLOOKUP(財務規劃表[[#This Row],[年齡]],收入表[],2)),VLOOKUP(財務規劃表[[#This Row],[年齡]],收入表[],2),C27*(1+財務規劃表[[#This Row],[收入成長率]]))</f>
        <v>1241062.5727828126</v>
      </c>
      <c r="D28" s="3"/>
      <c r="E28" s="14">
        <f ca="1">IF(報酬率模式="規劃",VLOOKUP(財務規劃表[[#This Row],[年齡]],表格4[],2),NORMINV(RAND(),VLOOKUP(財務規劃表[[#This Row],[年齡]],表格4[],2),VLOOKUP(財務規劃表[[#This Row],[年齡]],表格4[],3)))</f>
        <v>0.09</v>
      </c>
      <c r="F28" s="3">
        <f ca="1">J27*財務規劃表[[#This Row],[投資報酬率]]</f>
        <v>810132.85810578021</v>
      </c>
      <c r="G28" s="3">
        <f>VLOOKUP(財務規劃表[[#This Row],[年齡]],支出表[],2)</f>
        <v>400000</v>
      </c>
      <c r="H28" s="3"/>
      <c r="I28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1573158.4034396685</v>
      </c>
      <c r="J28" s="3">
        <f ca="1">J27+財務規劃表[[#This Row],[收支淨額]]</f>
        <v>10574634.604615005</v>
      </c>
      <c r="L28" s="2">
        <v>65</v>
      </c>
      <c r="M28" s="4">
        <v>0.04</v>
      </c>
      <c r="N28" s="4">
        <v>4.8000000000000001E-2</v>
      </c>
    </row>
    <row r="29" spans="1:14" x14ac:dyDescent="0.25">
      <c r="A29" s="2">
        <f t="shared" si="0"/>
        <v>45</v>
      </c>
      <c r="B29" s="4">
        <f>VLOOKUP(財務規劃表[[#This Row],[年齡]],收入表[],3)</f>
        <v>0.03</v>
      </c>
      <c r="C29" s="3">
        <f>IF(ISNUMBER(VLOOKUP(財務規劃表[[#This Row],[年齡]],收入表[],2)),VLOOKUP(財務規劃表[[#This Row],[年齡]],收入表[],2),C28*(1+財務規劃表[[#This Row],[收入成長率]]))</f>
        <v>1278294.449966297</v>
      </c>
      <c r="D29" s="3"/>
      <c r="E29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29" s="3">
        <f ca="1">J28*財務規劃表[[#This Row],[投資報酬率]]</f>
        <v>740224.42232305044</v>
      </c>
      <c r="G29" s="3">
        <f>VLOOKUP(財務規劃表[[#This Row],[年齡]],支出表[],2)</f>
        <v>500000</v>
      </c>
      <c r="H29" s="3"/>
      <c r="I29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1409021.6622919689</v>
      </c>
      <c r="J29" s="3">
        <f ca="1">J28+財務規劃表[[#This Row],[收支淨額]]</f>
        <v>11983656.266906973</v>
      </c>
    </row>
    <row r="30" spans="1:14" x14ac:dyDescent="0.25">
      <c r="A30" s="2">
        <f t="shared" si="0"/>
        <v>46</v>
      </c>
      <c r="B30" s="4">
        <f>VLOOKUP(財務規劃表[[#This Row],[年齡]],收入表[],3)</f>
        <v>0.03</v>
      </c>
      <c r="C30" s="3">
        <f>IF(ISNUMBER(VLOOKUP(財務規劃表[[#This Row],[年齡]],收入表[],2)),VLOOKUP(財務規劃表[[#This Row],[年齡]],收入表[],2),C29*(1+財務規劃表[[#This Row],[收入成長率]]))</f>
        <v>1316643.283465286</v>
      </c>
      <c r="D30" s="3"/>
      <c r="E30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0" s="3">
        <f ca="1">J29*財務規劃表[[#This Row],[投資報酬率]]</f>
        <v>838855.93868348817</v>
      </c>
      <c r="G30" s="3">
        <f>VLOOKUP(財務規劃表[[#This Row],[年齡]],支出表[],2)</f>
        <v>500000</v>
      </c>
      <c r="H30" s="3"/>
      <c r="I30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1533812.0679514483</v>
      </c>
      <c r="J30" s="3">
        <f ca="1">J29+財務規劃表[[#This Row],[收支淨額]]</f>
        <v>13517468.334858421</v>
      </c>
    </row>
    <row r="31" spans="1:14" x14ac:dyDescent="0.25">
      <c r="A31" s="2">
        <f t="shared" si="0"/>
        <v>47</v>
      </c>
      <c r="B31" s="4">
        <f>VLOOKUP(財務規劃表[[#This Row],[年齡]],收入表[],3)</f>
        <v>0.03</v>
      </c>
      <c r="C31" s="3">
        <f>IF(ISNUMBER(VLOOKUP(財務規劃表[[#This Row],[年齡]],收入表[],2)),VLOOKUP(財務規劃表[[#This Row],[年齡]],收入表[],2),C30*(1+財務規劃表[[#This Row],[收入成長率]]))</f>
        <v>1356142.5819692446</v>
      </c>
      <c r="D31" s="3"/>
      <c r="E31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1" s="3">
        <f ca="1">J30*財務規劃表[[#This Row],[投資報酬率]]</f>
        <v>946222.78344008955</v>
      </c>
      <c r="G31" s="3">
        <f>VLOOKUP(財務規劃表[[#This Row],[年齡]],支出表[],2)</f>
        <v>500000</v>
      </c>
      <c r="H31" s="3"/>
      <c r="I31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1668244.4681280614</v>
      </c>
      <c r="J31" s="3">
        <f ca="1">J30+財務規劃表[[#This Row],[收支淨額]]</f>
        <v>15185712.802986482</v>
      </c>
    </row>
    <row r="32" spans="1:14" x14ac:dyDescent="0.25">
      <c r="A32" s="2">
        <f t="shared" si="0"/>
        <v>48</v>
      </c>
      <c r="B32" s="4">
        <f>VLOOKUP(財務規劃表[[#This Row],[年齡]],收入表[],3)</f>
        <v>0.03</v>
      </c>
      <c r="C32" s="3">
        <f>IF(ISNUMBER(VLOOKUP(財務規劃表[[#This Row],[年齡]],收入表[],2)),VLOOKUP(財務規劃表[[#This Row],[年齡]],收入表[],2),C31*(1+財務規劃表[[#This Row],[收入成長率]]))</f>
        <v>1396826.8594283219</v>
      </c>
      <c r="D32" s="3"/>
      <c r="E32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2" s="3">
        <f ca="1">J31*財務規劃表[[#This Row],[投資報酬率]]</f>
        <v>1062999.8962090539</v>
      </c>
      <c r="G32" s="3">
        <f>VLOOKUP(財務規劃表[[#This Row],[年齡]],支出表[],2)</f>
        <v>500000</v>
      </c>
      <c r="H32" s="3"/>
      <c r="I32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1813023.4404104776</v>
      </c>
      <c r="J32" s="3">
        <f ca="1">J31+財務規劃表[[#This Row],[收支淨額]]</f>
        <v>16998736.24339696</v>
      </c>
    </row>
    <row r="33" spans="1:10" x14ac:dyDescent="0.25">
      <c r="A33" s="2">
        <f t="shared" si="0"/>
        <v>49</v>
      </c>
      <c r="B33" s="4">
        <f>VLOOKUP(財務規劃表[[#This Row],[年齡]],收入表[],3)</f>
        <v>0.03</v>
      </c>
      <c r="C33" s="3">
        <f>IF(ISNUMBER(VLOOKUP(財務規劃表[[#This Row],[年齡]],收入表[],2)),VLOOKUP(財務規劃表[[#This Row],[年齡]],收入表[],2),C32*(1+財務規劃表[[#This Row],[收入成長率]]))</f>
        <v>1438731.6652111716</v>
      </c>
      <c r="D33" s="3"/>
      <c r="E33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3" s="3">
        <f ca="1">J32*財務規劃表[[#This Row],[投資報酬率]]</f>
        <v>1189911.5370377873</v>
      </c>
      <c r="G33" s="3">
        <f>VLOOKUP(財務規劃表[[#This Row],[年齡]],支出表[],2)</f>
        <v>500000</v>
      </c>
      <c r="H33" s="3"/>
      <c r="I33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1968903.8207175229</v>
      </c>
      <c r="J33" s="3">
        <f ca="1">J32+財務規劃表[[#This Row],[收支淨額]]</f>
        <v>18967640.064114481</v>
      </c>
    </row>
    <row r="34" spans="1:10" x14ac:dyDescent="0.25">
      <c r="A34" s="2">
        <f t="shared" si="0"/>
        <v>50</v>
      </c>
      <c r="B34" s="4">
        <f>VLOOKUP(財務規劃表[[#This Row],[年齡]],收入表[],3)</f>
        <v>0.03</v>
      </c>
      <c r="C34" s="3">
        <f>IF(ISNUMBER(VLOOKUP(財務規劃表[[#This Row],[年齡]],收入表[],2)),VLOOKUP(財務規劃表[[#This Row],[年齡]],收入表[],2),C33*(1+財務規劃表[[#This Row],[收入成長率]]))</f>
        <v>1481893.6151675067</v>
      </c>
      <c r="D34" s="3"/>
      <c r="E34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4" s="3">
        <f ca="1">J33*財務規劃表[[#This Row],[投資報酬率]]</f>
        <v>1327734.8044880137</v>
      </c>
      <c r="G34" s="3">
        <f>VLOOKUP(財務規劃表[[#This Row],[年齡]],支出表[],2)</f>
        <v>500000</v>
      </c>
      <c r="H34" s="3"/>
      <c r="I34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2136694.2504934557</v>
      </c>
      <c r="J34" s="3">
        <f ca="1">J33+財務規劃表[[#This Row],[收支淨額]]</f>
        <v>21104334.314607937</v>
      </c>
    </row>
    <row r="35" spans="1:10" x14ac:dyDescent="0.25">
      <c r="A35" s="2">
        <f t="shared" ref="A35:A54" si="1">A34+1</f>
        <v>51</v>
      </c>
      <c r="B35" s="4">
        <f>VLOOKUP(財務規劃表[[#This Row],[年齡]],收入表[],3)</f>
        <v>0.03</v>
      </c>
      <c r="C35" s="3">
        <f>IF(ISNUMBER(VLOOKUP(財務規劃表[[#This Row],[年齡]],收入表[],2)),VLOOKUP(財務規劃表[[#This Row],[年齡]],收入表[],2),C34*(1+財務規劃表[[#This Row],[收入成長率]]))</f>
        <v>1526350.423622532</v>
      </c>
      <c r="D35" s="3"/>
      <c r="E35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5" s="3">
        <f ca="1">J34*財務規劃表[[#This Row],[投資報酬率]]</f>
        <v>1477303.4020225557</v>
      </c>
      <c r="G35" s="3">
        <f>VLOOKUP(財務規劃表[[#This Row],[年齡]],支出表[],2)</f>
        <v>500000</v>
      </c>
      <c r="H35" s="3"/>
      <c r="I35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2317260.9730997817</v>
      </c>
      <c r="J35" s="3">
        <f ca="1">J34+財務規劃表[[#This Row],[收支淨額]]</f>
        <v>23421595.28770772</v>
      </c>
    </row>
    <row r="36" spans="1:10" x14ac:dyDescent="0.25">
      <c r="A36" s="2">
        <f t="shared" si="1"/>
        <v>52</v>
      </c>
      <c r="B36" s="4">
        <f>VLOOKUP(財務規劃表[[#This Row],[年齡]],收入表[],3)</f>
        <v>0.03</v>
      </c>
      <c r="C36" s="3">
        <f>IF(ISNUMBER(VLOOKUP(財務規劃表[[#This Row],[年齡]],收入表[],2)),VLOOKUP(財務規劃表[[#This Row],[年齡]],收入表[],2),C35*(1+財務規劃表[[#This Row],[收入成長率]]))</f>
        <v>1572140.9363312081</v>
      </c>
      <c r="D36" s="3"/>
      <c r="E36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6" s="3">
        <f ca="1">J35*財務規劃表[[#This Row],[投資報酬率]]</f>
        <v>1639511.6701395405</v>
      </c>
      <c r="G36" s="3">
        <f>VLOOKUP(財務規劃表[[#This Row],[年齡]],支出表[],2)</f>
        <v>500000</v>
      </c>
      <c r="H36" s="3"/>
      <c r="I36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2511531.8968745368</v>
      </c>
      <c r="J36" s="3">
        <f ca="1">J35+財務規劃表[[#This Row],[收支淨額]]</f>
        <v>25933127.184582256</v>
      </c>
    </row>
    <row r="37" spans="1:10" x14ac:dyDescent="0.25">
      <c r="A37" s="2">
        <f t="shared" si="1"/>
        <v>53</v>
      </c>
      <c r="B37" s="4">
        <f>VLOOKUP(財務規劃表[[#This Row],[年齡]],收入表[],3)</f>
        <v>0.03</v>
      </c>
      <c r="C37" s="3">
        <f>IF(ISNUMBER(VLOOKUP(財務規劃表[[#This Row],[年齡]],收入表[],2)),VLOOKUP(財務規劃表[[#This Row],[年齡]],收入表[],2),C36*(1+財務規劃表[[#This Row],[收入成長率]]))</f>
        <v>1619305.1644211444</v>
      </c>
      <c r="D37" s="3"/>
      <c r="E37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7" s="3">
        <f ca="1">J36*財務規劃表[[#This Row],[投資報酬率]]</f>
        <v>1815318.9029207581</v>
      </c>
      <c r="G37" s="3">
        <f>VLOOKUP(財務規劃表[[#This Row],[年齡]],支出表[],2)</f>
        <v>500000</v>
      </c>
      <c r="H37" s="3"/>
      <c r="I37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2720500.9435537658</v>
      </c>
      <c r="J37" s="3">
        <f ca="1">J36+財務規劃表[[#This Row],[收支淨額]]</f>
        <v>28653628.12813602</v>
      </c>
    </row>
    <row r="38" spans="1:10" x14ac:dyDescent="0.25">
      <c r="A38" s="2">
        <f t="shared" si="1"/>
        <v>54</v>
      </c>
      <c r="B38" s="4">
        <f>VLOOKUP(財務規劃表[[#This Row],[年齡]],收入表[],3)</f>
        <v>0.03</v>
      </c>
      <c r="C38" s="3">
        <f>IF(ISNUMBER(VLOOKUP(財務規劃表[[#This Row],[年齡]],收入表[],2)),VLOOKUP(財務規劃表[[#This Row],[年齡]],收入表[],2),C37*(1+財務規劃表[[#This Row],[收入成長率]]))</f>
        <v>1667884.3193537788</v>
      </c>
      <c r="D38" s="3"/>
      <c r="E38" s="14">
        <f ca="1">IF(報酬率模式="規劃",VLOOKUP(財務規劃表[[#This Row],[年齡]],表格4[],2),NORMINV(RAND(),VLOOKUP(財務規劃表[[#This Row],[年齡]],表格4[],2),VLOOKUP(財務規劃表[[#This Row],[年齡]],表格4[],3)))</f>
        <v>7.0000000000000007E-2</v>
      </c>
      <c r="F38" s="3">
        <f ca="1">J37*財務規劃表[[#This Row],[投資報酬率]]</f>
        <v>2005753.9689695216</v>
      </c>
      <c r="G38" s="3">
        <f>VLOOKUP(財務規劃表[[#This Row],[年齡]],支出表[],2)</f>
        <v>500000</v>
      </c>
      <c r="H38" s="3"/>
      <c r="I38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2945232.7020594012</v>
      </c>
      <c r="J38" s="3">
        <f ca="1">J37+財務規劃表[[#This Row],[收支淨額]]</f>
        <v>31598860.830195419</v>
      </c>
    </row>
    <row r="39" spans="1:10" x14ac:dyDescent="0.25">
      <c r="A39" s="2">
        <f t="shared" si="1"/>
        <v>55</v>
      </c>
      <c r="B39" s="4">
        <f>VLOOKUP(財務規劃表[[#This Row],[年齡]],收入表[],3)</f>
        <v>0</v>
      </c>
      <c r="C39" s="3">
        <f>IF(ISNUMBER(VLOOKUP(財務規劃表[[#This Row],[年齡]],收入表[],2)),VLOOKUP(財務規劃表[[#This Row],[年齡]],收入表[],2),C38*(1+財務規劃表[[#This Row],[收入成長率]]))</f>
        <v>1667884.3193537788</v>
      </c>
      <c r="D39" s="3"/>
      <c r="E39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39" s="3">
        <f ca="1">J38*財務規劃表[[#This Row],[投資報酬率]]</f>
        <v>1579943.041509771</v>
      </c>
      <c r="G39" s="3">
        <f>VLOOKUP(財務規劃表[[#This Row],[年齡]],支出表[],2)</f>
        <v>700000</v>
      </c>
      <c r="H39" s="3"/>
      <c r="I39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2207664.1836787015</v>
      </c>
      <c r="J39" s="3">
        <f ca="1">J38+財務規劃表[[#This Row],[收支淨額]]</f>
        <v>33806525.013874121</v>
      </c>
    </row>
    <row r="40" spans="1:10" x14ac:dyDescent="0.25">
      <c r="A40" s="2">
        <f t="shared" si="1"/>
        <v>56</v>
      </c>
      <c r="B40" s="4">
        <f>VLOOKUP(財務規劃表[[#This Row],[年齡]],收入表[],3)</f>
        <v>0</v>
      </c>
      <c r="C40" s="3">
        <f>IF(ISNUMBER(VLOOKUP(財務規劃表[[#This Row],[年齡]],收入表[],2)),VLOOKUP(財務規劃表[[#This Row],[年齡]],收入表[],2),C39*(1+財務規劃表[[#This Row],[收入成長率]]))</f>
        <v>1667884.3193537788</v>
      </c>
      <c r="D40" s="3"/>
      <c r="E40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0" s="3">
        <f ca="1">J39*財務規劃表[[#This Row],[投資報酬率]]</f>
        <v>1690326.2506937061</v>
      </c>
      <c r="G40" s="3">
        <f>VLOOKUP(財務規劃表[[#This Row],[年齡]],支出表[],2)</f>
        <v>700000</v>
      </c>
      <c r="H40" s="3"/>
      <c r="I40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2297244.1293189395</v>
      </c>
      <c r="J40" s="3">
        <f ca="1">J39+財務規劃表[[#This Row],[收支淨額]]</f>
        <v>36103769.143193059</v>
      </c>
    </row>
    <row r="41" spans="1:10" x14ac:dyDescent="0.25">
      <c r="A41" s="2">
        <f t="shared" si="1"/>
        <v>57</v>
      </c>
      <c r="B41" s="4">
        <f>VLOOKUP(財務規劃表[[#This Row],[年齡]],收入表[],3)</f>
        <v>0</v>
      </c>
      <c r="C41" s="3">
        <f>IF(ISNUMBER(VLOOKUP(財務規劃表[[#This Row],[年齡]],收入表[],2)),VLOOKUP(財務規劃表[[#This Row],[年齡]],收入表[],2),C40*(1+財務規劃表[[#This Row],[收入成長率]]))</f>
        <v>1667884.3193537788</v>
      </c>
      <c r="D41" s="3"/>
      <c r="E41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1" s="3">
        <f ca="1">J40*財務規劃表[[#This Row],[投資報酬率]]</f>
        <v>1805188.4571596531</v>
      </c>
      <c r="G41" s="3">
        <f>VLOOKUP(財務規劃表[[#This Row],[年齡]],支出表[],2)</f>
        <v>700000</v>
      </c>
      <c r="H41" s="3"/>
      <c r="I41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2390887.0069703162</v>
      </c>
      <c r="J41" s="3">
        <f ca="1">J40+財務規劃表[[#This Row],[收支淨額]]</f>
        <v>38494656.150163375</v>
      </c>
    </row>
    <row r="42" spans="1:10" x14ac:dyDescent="0.25">
      <c r="A42" s="2">
        <f t="shared" si="1"/>
        <v>58</v>
      </c>
      <c r="B42" s="4">
        <f>VLOOKUP(財務規劃表[[#This Row],[年齡]],收入表[],3)</f>
        <v>0</v>
      </c>
      <c r="C42" s="3">
        <f>IF(ISNUMBER(VLOOKUP(財務規劃表[[#This Row],[年齡]],收入表[],2)),VLOOKUP(財務規劃表[[#This Row],[年齡]],收入表[],2),C41*(1+財務規劃表[[#This Row],[收入成長率]]))</f>
        <v>1667884.3193537788</v>
      </c>
      <c r="D42" s="3"/>
      <c r="E42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2" s="3">
        <f ca="1">J41*財務規劃表[[#This Row],[投資報酬率]]</f>
        <v>1924732.8075081687</v>
      </c>
      <c r="G42" s="3">
        <f>VLOOKUP(財務規劃表[[#This Row],[年齡]],支出表[],2)</f>
        <v>700000</v>
      </c>
      <c r="H42" s="3"/>
      <c r="I42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2488787.6419279696</v>
      </c>
      <c r="J42" s="3">
        <f ca="1">J41+財務規劃表[[#This Row],[收支淨額]]</f>
        <v>40983443.792091347</v>
      </c>
    </row>
    <row r="43" spans="1:10" x14ac:dyDescent="0.25">
      <c r="A43" s="2">
        <f t="shared" si="1"/>
        <v>59</v>
      </c>
      <c r="B43" s="4">
        <f>VLOOKUP(財務規劃表[[#This Row],[年齡]],收入表[],3)</f>
        <v>0</v>
      </c>
      <c r="C43" s="3">
        <f>IF(ISNUMBER(VLOOKUP(財務規劃表[[#This Row],[年齡]],收入表[],2)),VLOOKUP(財務規劃表[[#This Row],[年齡]],收入表[],2),C42*(1+財務規劃表[[#This Row],[收入成長率]]))</f>
        <v>1667884.3193537788</v>
      </c>
      <c r="D43" s="3"/>
      <c r="E43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3" s="3">
        <f ca="1">J42*財務規劃表[[#This Row],[投資報酬率]]</f>
        <v>2049172.1896045674</v>
      </c>
      <c r="G43" s="3">
        <f>VLOOKUP(財務規劃表[[#This Row],[年齡]],支出表[],2)</f>
        <v>700000</v>
      </c>
      <c r="H43" s="3"/>
      <c r="I43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2591150.4343256885</v>
      </c>
      <c r="J43" s="3">
        <f ca="1">J42+財務規劃表[[#This Row],[收支淨額]]</f>
        <v>43574594.226417035</v>
      </c>
    </row>
    <row r="44" spans="1:10" x14ac:dyDescent="0.25">
      <c r="A44" s="2">
        <f t="shared" si="1"/>
        <v>60</v>
      </c>
      <c r="B44" s="4">
        <f>VLOOKUP(財務規劃表[[#This Row],[年齡]],收入表[],3)</f>
        <v>0</v>
      </c>
      <c r="C44" s="3">
        <f>IF(ISNUMBER(VLOOKUP(財務規劃表[[#This Row],[年齡]],收入表[],2)),VLOOKUP(財務規劃表[[#This Row],[年齡]],收入表[],2),C43*(1+財務規劃表[[#This Row],[收入成長率]]))</f>
        <v>1667884.3193537788</v>
      </c>
      <c r="D44" s="3"/>
      <c r="E44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4" s="3">
        <f ca="1">J43*財務規劃表[[#This Row],[投資報酬率]]</f>
        <v>2178729.7113208519</v>
      </c>
      <c r="G44" s="3">
        <f>VLOOKUP(財務規劃表[[#This Row],[年齡]],支出表[],2)</f>
        <v>700000</v>
      </c>
      <c r="H44" s="3"/>
      <c r="I44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2698189.8345493199</v>
      </c>
      <c r="J44" s="3">
        <f ca="1">J43+財務規劃表[[#This Row],[收支淨額]]</f>
        <v>46272784.060966358</v>
      </c>
    </row>
    <row r="45" spans="1:10" x14ac:dyDescent="0.25">
      <c r="A45" s="2">
        <f t="shared" si="1"/>
        <v>61</v>
      </c>
      <c r="B45" s="4">
        <f>VLOOKUP(財務規劃表[[#This Row],[年齡]],收入表[],3)</f>
        <v>0</v>
      </c>
      <c r="C45" s="3">
        <f>IF(ISNUMBER(VLOOKUP(財務規劃表[[#This Row],[年齡]],收入表[],2)),VLOOKUP(財務規劃表[[#This Row],[年齡]],收入表[],2),C44*(1+財務規劃表[[#This Row],[收入成長率]]))</f>
        <v>1667884.3193537788</v>
      </c>
      <c r="D45" s="3"/>
      <c r="E45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5" s="3">
        <f ca="1">J44*財務規劃表[[#This Row],[投資報酬率]]</f>
        <v>2313639.2030483182</v>
      </c>
      <c r="G45" s="3">
        <f>VLOOKUP(財務規劃表[[#This Row],[年齡]],支出表[],2)</f>
        <v>700000</v>
      </c>
      <c r="H45" s="3"/>
      <c r="I45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2810130.8423542799</v>
      </c>
      <c r="J45" s="3">
        <f ca="1">J44+財務規劃表[[#This Row],[收支淨額]]</f>
        <v>49082914.90332064</v>
      </c>
    </row>
    <row r="46" spans="1:10" x14ac:dyDescent="0.25">
      <c r="A46" s="2">
        <f t="shared" si="1"/>
        <v>62</v>
      </c>
      <c r="B46" s="4">
        <f>VLOOKUP(財務規劃表[[#This Row],[年齡]],收入表[],3)</f>
        <v>0</v>
      </c>
      <c r="C46" s="3">
        <f>IF(ISNUMBER(VLOOKUP(財務規劃表[[#This Row],[年齡]],收入表[],2)),VLOOKUP(財務規劃表[[#This Row],[年齡]],收入表[],2),C45*(1+財務規劃表[[#This Row],[收入成長率]]))</f>
        <v>1667884.3193537788</v>
      </c>
      <c r="D46" s="3"/>
      <c r="E46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6" s="3">
        <f ca="1">J45*財務規劃表[[#This Row],[投資報酬率]]</f>
        <v>2454145.7451660321</v>
      </c>
      <c r="G46" s="3">
        <f>VLOOKUP(財務規劃表[[#This Row],[年齡]],支出表[],2)</f>
        <v>700000</v>
      </c>
      <c r="H46" s="3"/>
      <c r="I46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2927209.5308710379</v>
      </c>
      <c r="J46" s="3">
        <f ca="1">J45+財務規劃表[[#This Row],[收支淨額]]</f>
        <v>52010124.434191681</v>
      </c>
    </row>
    <row r="47" spans="1:10" x14ac:dyDescent="0.25">
      <c r="A47" s="2">
        <f t="shared" si="1"/>
        <v>63</v>
      </c>
      <c r="B47" s="4">
        <f>VLOOKUP(財務規劃表[[#This Row],[年齡]],收入表[],3)</f>
        <v>0</v>
      </c>
      <c r="C47" s="3">
        <f>IF(ISNUMBER(VLOOKUP(財務規劃表[[#This Row],[年齡]],收入表[],2)),VLOOKUP(財務規劃表[[#This Row],[年齡]],收入表[],2),C46*(1+財務規劃表[[#This Row],[收入成長率]]))</f>
        <v>1667884.3193537788</v>
      </c>
      <c r="D47" s="3"/>
      <c r="E47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7" s="3">
        <f ca="1">J46*財務規劃表[[#This Row],[投資報酬率]]</f>
        <v>2600506.2217095844</v>
      </c>
      <c r="G47" s="3">
        <f>VLOOKUP(財務規劃表[[#This Row],[年齡]],支出表[],2)</f>
        <v>700000</v>
      </c>
      <c r="H47" s="3"/>
      <c r="I47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3049673.5967416139</v>
      </c>
      <c r="J47" s="3">
        <f ca="1">J46+財務規劃表[[#This Row],[收支淨額]]</f>
        <v>55059798.030933298</v>
      </c>
    </row>
    <row r="48" spans="1:10" x14ac:dyDescent="0.25">
      <c r="A48" s="2">
        <f t="shared" si="1"/>
        <v>64</v>
      </c>
      <c r="B48" s="4">
        <f>VLOOKUP(財務規劃表[[#This Row],[年齡]],收入表[],3)</f>
        <v>0</v>
      </c>
      <c r="C48" s="3">
        <f>IF(ISNUMBER(VLOOKUP(財務規劃表[[#This Row],[年齡]],收入表[],2)),VLOOKUP(財務規劃表[[#This Row],[年齡]],收入表[],2),C47*(1+財務規劃表[[#This Row],[收入成長率]]))</f>
        <v>1667884.3193537788</v>
      </c>
      <c r="D48" s="3"/>
      <c r="E48" s="14">
        <f ca="1">IF(報酬率模式="規劃",VLOOKUP(財務規劃表[[#This Row],[年齡]],表格4[],2),NORMINV(RAND(),VLOOKUP(財務規劃表[[#This Row],[年齡]],表格4[],2),VLOOKUP(財務規劃表[[#This Row],[年齡]],表格4[],3)))</f>
        <v>0.05</v>
      </c>
      <c r="F48" s="3">
        <f ca="1">J47*財務規劃表[[#This Row],[投資報酬率]]</f>
        <v>2752989.901546665</v>
      </c>
      <c r="G48" s="3">
        <f>VLOOKUP(財務規劃表[[#This Row],[年齡]],支出表[],2)</f>
        <v>700000</v>
      </c>
      <c r="H48" s="3"/>
      <c r="I48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3177782.9376922604</v>
      </c>
      <c r="J48" s="3">
        <f ca="1">J47+財務規劃表[[#This Row],[收支淨額]]</f>
        <v>58237580.96862556</v>
      </c>
    </row>
    <row r="49" spans="1:10" x14ac:dyDescent="0.25">
      <c r="A49" s="2">
        <f t="shared" si="1"/>
        <v>65</v>
      </c>
      <c r="B49" s="4">
        <f>VLOOKUP(財務規劃表[[#This Row],[年齡]],收入表[],3)</f>
        <v>0</v>
      </c>
      <c r="C49" s="3">
        <f>IF(ISNUMBER(VLOOKUP(財務規劃表[[#This Row],[年齡]],收入表[],2)),VLOOKUP(財務規劃表[[#This Row],[年齡]],收入表[],2),C48*(1+財務規劃表[[#This Row],[收入成長率]]))</f>
        <v>250000</v>
      </c>
      <c r="D49" s="3"/>
      <c r="E49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49" s="3">
        <f ca="1">J48*財務規劃表[[#This Row],[投資報酬率]]</f>
        <v>2329503.2387450226</v>
      </c>
      <c r="G49" s="3">
        <f>VLOOKUP(財務規劃表[[#This Row],[年齡]],支出表[],2)</f>
        <v>650000</v>
      </c>
      <c r="H49" s="3"/>
      <c r="I49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1402118.2090778428</v>
      </c>
      <c r="J49" s="3">
        <f ca="1">J48+財務規劃表[[#This Row],[收支淨額]]</f>
        <v>59639699.177703403</v>
      </c>
    </row>
    <row r="50" spans="1:10" x14ac:dyDescent="0.25">
      <c r="A50" s="2">
        <f t="shared" si="1"/>
        <v>66</v>
      </c>
      <c r="B50" s="4">
        <f>VLOOKUP(財務規劃表[[#This Row],[年齡]],收入表[],3)</f>
        <v>0</v>
      </c>
      <c r="C50" s="3">
        <f>IF(ISNUMBER(VLOOKUP(財務規劃表[[#This Row],[年齡]],收入表[],2)),VLOOKUP(財務規劃表[[#This Row],[年齡]],收入表[],2),C49*(1+財務規劃表[[#This Row],[收入成長率]]))</f>
        <v>250000</v>
      </c>
      <c r="D50" s="3"/>
      <c r="E50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50" s="3">
        <f ca="1">J49*財務規劃表[[#This Row],[投資報酬率]]</f>
        <v>2385587.967108136</v>
      </c>
      <c r="G50" s="3">
        <f>VLOOKUP(財務規劃表[[#This Row],[年齡]],支出表[],2)</f>
        <v>650000</v>
      </c>
      <c r="H50" s="3"/>
      <c r="I50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1434655.236847613</v>
      </c>
      <c r="J50" s="3">
        <f ca="1">J49+財務規劃表[[#This Row],[收支淨額]]</f>
        <v>61074354.41455102</v>
      </c>
    </row>
    <row r="51" spans="1:10" x14ac:dyDescent="0.25">
      <c r="A51" s="2">
        <f t="shared" si="1"/>
        <v>67</v>
      </c>
      <c r="B51" s="4">
        <f>VLOOKUP(財務規劃表[[#This Row],[年齡]],收入表[],3)</f>
        <v>0</v>
      </c>
      <c r="C51" s="3">
        <f>IF(ISNUMBER(VLOOKUP(財務規劃表[[#This Row],[年齡]],收入表[],2)),VLOOKUP(財務規劃表[[#This Row],[年齡]],收入表[],2),C50*(1+財務規劃表[[#This Row],[收入成長率]]))</f>
        <v>250000</v>
      </c>
      <c r="D51" s="3"/>
      <c r="E51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51" s="3">
        <f ca="1">J50*財務規劃表[[#This Row],[投資報酬率]]</f>
        <v>2442974.1765820407</v>
      </c>
      <c r="G51" s="3">
        <f>VLOOKUP(財務規劃表[[#This Row],[年齡]],支出表[],2)</f>
        <v>650000</v>
      </c>
      <c r="H51" s="3"/>
      <c r="I51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1468022.7917163069</v>
      </c>
      <c r="J51" s="3">
        <f ca="1">J50+財務規劃表[[#This Row],[收支淨額]]</f>
        <v>62542377.206267327</v>
      </c>
    </row>
    <row r="52" spans="1:10" x14ac:dyDescent="0.25">
      <c r="A52" s="2">
        <f t="shared" si="1"/>
        <v>68</v>
      </c>
      <c r="B52" s="4">
        <f>VLOOKUP(財務規劃表[[#This Row],[年齡]],收入表[],3)</f>
        <v>0</v>
      </c>
      <c r="C52" s="3">
        <f>IF(ISNUMBER(VLOOKUP(財務規劃表[[#This Row],[年齡]],收入表[],2)),VLOOKUP(財務規劃表[[#This Row],[年齡]],收入表[],2),C51*(1+財務規劃表[[#This Row],[收入成長率]]))</f>
        <v>250000</v>
      </c>
      <c r="D52" s="3"/>
      <c r="E52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52" s="3">
        <f ca="1">J51*財務規劃表[[#This Row],[投資報酬率]]</f>
        <v>2501695.0882506929</v>
      </c>
      <c r="G52" s="3">
        <f>VLOOKUP(財務規劃表[[#This Row],[年齡]],支出表[],2)</f>
        <v>650000</v>
      </c>
      <c r="H52" s="3"/>
      <c r="I52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1502244.6756876444</v>
      </c>
      <c r="J52" s="3">
        <f ca="1">J51+財務規劃表[[#This Row],[收支淨額]]</f>
        <v>64044621.881954968</v>
      </c>
    </row>
    <row r="53" spans="1:10" x14ac:dyDescent="0.25">
      <c r="A53" s="2">
        <f t="shared" si="1"/>
        <v>69</v>
      </c>
      <c r="B53" s="4">
        <f>VLOOKUP(財務規劃表[[#This Row],[年齡]],收入表[],3)</f>
        <v>0</v>
      </c>
      <c r="C53" s="3">
        <f>IF(ISNUMBER(VLOOKUP(財務規劃表[[#This Row],[年齡]],收入表[],2)),VLOOKUP(財務規劃表[[#This Row],[年齡]],收入表[],2),C52*(1+財務規劃表[[#This Row],[收入成長率]]))</f>
        <v>250000</v>
      </c>
      <c r="D53" s="3"/>
      <c r="E53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53" s="3">
        <f ca="1">J52*財務規劃表[[#This Row],[投資報酬率]]</f>
        <v>2561784.8752781986</v>
      </c>
      <c r="G53" s="3">
        <f>VLOOKUP(財務規劃表[[#This Row],[年齡]],支出表[],2)</f>
        <v>650000</v>
      </c>
      <c r="H53" s="3"/>
      <c r="I53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1537345.4544638891</v>
      </c>
      <c r="J53" s="3">
        <f ca="1">J52+財務規劃表[[#This Row],[收支淨額]]</f>
        <v>65581967.33641886</v>
      </c>
    </row>
    <row r="54" spans="1:10" x14ac:dyDescent="0.25">
      <c r="A54" s="2">
        <f t="shared" si="1"/>
        <v>70</v>
      </c>
      <c r="B54" s="4">
        <f>VLOOKUP(財務規劃表[[#This Row],[年齡]],收入表[],3)</f>
        <v>0</v>
      </c>
      <c r="C54" s="3">
        <f>IF(ISNUMBER(VLOOKUP(財務規劃表[[#This Row],[年齡]],收入表[],2)),VLOOKUP(財務規劃表[[#This Row],[年齡]],收入表[],2),C53*(1+財務規劃表[[#This Row],[收入成長率]]))</f>
        <v>250000</v>
      </c>
      <c r="D54" s="3"/>
      <c r="E54" s="14">
        <f ca="1">IF(報酬率模式="規劃",VLOOKUP(財務規劃表[[#This Row],[年齡]],表格4[],2),NORMINV(RAND(),VLOOKUP(財務規劃表[[#This Row],[年齡]],表格4[],2),VLOOKUP(財務規劃表[[#This Row],[年齡]],表格4[],3)))</f>
        <v>0.04</v>
      </c>
      <c r="F54" s="3">
        <f ca="1">J53*財務規劃表[[#This Row],[投資報酬率]]</f>
        <v>2623278.6934567546</v>
      </c>
      <c r="G54" s="3">
        <f>VLOOKUP(財務規劃表[[#This Row],[年齡]],支出表[],2)</f>
        <v>650000</v>
      </c>
      <c r="H54" s="3"/>
      <c r="I54" s="3">
        <f ca="1">財務規劃表[[#This Row],[年收入]]+財務規劃表[[#This Row],[投資收入]]+財務規劃表[[#This Row],[年收入2]]-財務規劃表[[#This Row],[年支出]]*(1+通貨膨漲率)^(財務規劃表[[#This Row],[年齡]]-$A$19)-財務規劃表[[#This Row],[年支出2]]</f>
        <v>1573350.4842261591</v>
      </c>
      <c r="J54" s="3">
        <f ca="1">J53+財務規劃表[[#This Row],[收支淨額]]</f>
        <v>67155317.820645019</v>
      </c>
    </row>
  </sheetData>
  <scenarios current="1" show="1">
    <scenario name="只會投資定存" locked="1" count="32" user="Stanley Hsiao" comment="建立者 Stanley Hsiao 於 2016/3/16_x000a_修改者 Stanley Hsiao 於 2016/3/16">
      <inputCells r="L25" val="35"/>
      <inputCells r="M25" val="0.015" numFmtId="176"/>
      <inputCells r="N25" val="0.00001" numFmtId="178"/>
      <inputCells r="L26" val=""/>
      <inputCells r="M26" val=""/>
      <inputCells r="N26" val=""/>
      <inputCells r="L27" val=""/>
      <inputCells r="M27" val=""/>
      <inputCells r="N27" val=""/>
      <inputCells r="L28" val=""/>
      <inputCells r="M28" val=""/>
      <inputCells r="N28" val=""/>
      <inputCells r="H23" val=""/>
      <inputCells r="H24" val=""/>
      <inputCells r="H25" val=""/>
      <inputCells r="H26" val=""/>
      <inputCells r="H27" val=""/>
      <inputCells r="H28" val=""/>
      <inputCells r="H29" val=""/>
      <inputCells r="H30" val=""/>
      <inputCells r="H31" val=""/>
      <inputCells r="H32" val=""/>
      <inputCells r="H33" val=""/>
      <inputCells r="H34" val=""/>
      <inputCells r="H35" val=""/>
      <inputCells r="H36" val=""/>
      <inputCells r="H37" val=""/>
      <inputCells r="H38" val=""/>
      <inputCells r="H39" val=""/>
      <inputCells r="H40" val=""/>
      <inputCells r="H41" val=""/>
      <inputCells r="H42" val=""/>
    </scenario>
    <scenario name="James標準" locked="1" count="32" user="Stanley Hsiao" comment="建立者 Stanley Hsiao 於 2016/3/16_x000a_修改者 Stanley Hsiao 於 2016/3/16">
      <inputCells r="L25" val="35"/>
      <inputCells r="M25" val="0.09" numFmtId="176"/>
      <inputCells r="N25" val="0.108" numFmtId="178"/>
      <inputCells r="L26" val="45"/>
      <inputCells r="M26" val="0.07" numFmtId="176"/>
      <inputCells r="N26" val="0.084" numFmtId="176"/>
      <inputCells r="L27" val="55"/>
      <inputCells r="M27" val="0.05" numFmtId="176"/>
      <inputCells r="N27" val="0.06" numFmtId="176"/>
      <inputCells r="L28" val="65"/>
      <inputCells r="M28" val="0.04" numFmtId="176"/>
      <inputCells r="N28" val="0.048" numFmtId="176"/>
      <inputCells r="H23" val=""/>
      <inputCells r="H24" val=""/>
      <inputCells r="H25" val=""/>
      <inputCells r="H26" val=""/>
      <inputCells r="H27" val=""/>
      <inputCells r="H28" val=""/>
      <inputCells r="H29" val=""/>
      <inputCells r="H30" val=""/>
      <inputCells r="H31" val=""/>
      <inputCells r="H32" val=""/>
      <inputCells r="H33" val=""/>
      <inputCells r="H34" val=""/>
      <inputCells r="H35" val=""/>
      <inputCells r="H36" val=""/>
      <inputCells r="H37" val=""/>
      <inputCells r="H38" val=""/>
      <inputCells r="H39" val=""/>
      <inputCells r="H40" val=""/>
      <inputCells r="H41" val=""/>
      <inputCells r="H42" val=""/>
    </scenario>
    <scenario name="買房1000萬" locked="1" count="32" user="Stanley Hsiao" comment="建立者 Stanley Hsiao 於 2016/3/16_x000a_修改者 Stanley Hsiao 於 2016/3/16">
      <inputCells r="H23" val="3424152" numFmtId="177"/>
      <inputCells r="H24" val="424152" numFmtId="177"/>
      <inputCells r="H25" val="424152" numFmtId="177"/>
      <inputCells r="H26" val="424152" numFmtId="177"/>
      <inputCells r="H27" val="424152" numFmtId="177"/>
      <inputCells r="H28" val="424152" numFmtId="177"/>
      <inputCells r="H29" val="424152" numFmtId="177"/>
      <inputCells r="H30" val="424152" numFmtId="177"/>
      <inputCells r="H31" val="424152" numFmtId="177"/>
      <inputCells r="H32" val="424152" numFmtId="177"/>
      <inputCells r="H33" val="424152" numFmtId="177"/>
      <inputCells r="H34" val="424152" numFmtId="177"/>
      <inputCells r="H35" val="424152" numFmtId="177"/>
      <inputCells r="H36" val="424152" numFmtId="177"/>
      <inputCells r="H37" val="424152" numFmtId="177"/>
      <inputCells r="H38" val="424152" numFmtId="177"/>
      <inputCells r="H39" val="424152" numFmtId="177"/>
      <inputCells r="H40" val="424152" numFmtId="177"/>
      <inputCells r="H41" val="424152" numFmtId="177"/>
      <inputCells r="H42" val="424152" numFmtId="177"/>
      <inputCells r="L25" val="35"/>
      <inputCells r="M25" val="0.09" numFmtId="176"/>
      <inputCells r="N25" val="0.108" numFmtId="178"/>
      <inputCells r="L26" val="45"/>
      <inputCells r="M26" val="0.07" numFmtId="176"/>
      <inputCells r="N26" val="0.084" numFmtId="176"/>
      <inputCells r="L27" val="55"/>
      <inputCells r="M27" val="0.05" numFmtId="176"/>
      <inputCells r="N27" val="0.06" numFmtId="176"/>
      <inputCells r="L28" val="65"/>
      <inputCells r="M28" val="0.04" numFmtId="176"/>
      <inputCells r="N28" val="0.048" numFmtId="176"/>
    </scenario>
  </scenarios>
  <phoneticPr fontId="2" type="noConversion"/>
  <conditionalFormatting sqref="N4">
    <cfRule type="expression" dxfId="25" priority="1">
      <formula>AND($M$4="規劃")</formula>
    </cfRule>
  </conditionalFormatting>
  <dataValidations count="1">
    <dataValidation type="list" allowBlank="1" showInputMessage="1" showErrorMessage="1" sqref="M4 B5:B17">
      <formula1>"規劃,模擬"</formula1>
    </dataValidation>
  </dataValidation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6.5" x14ac:dyDescent="0.25"/>
  <sheetData>
    <row r="1" spans="1:1" x14ac:dyDescent="0.25">
      <c r="A1">
        <f>35346</f>
        <v>35346</v>
      </c>
    </row>
    <row r="2" spans="1:1" x14ac:dyDescent="0.25">
      <c r="A2">
        <f>A1*12</f>
        <v>424152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6</vt:i4>
      </vt:variant>
    </vt:vector>
  </HeadingPairs>
  <TitlesOfParts>
    <vt:vector size="8" baseType="lpstr">
      <vt:lpstr>規劃表</vt:lpstr>
      <vt:lpstr>工作表1</vt:lpstr>
      <vt:lpstr>可投資金額</vt:lpstr>
      <vt:lpstr>目前年齡</vt:lpstr>
      <vt:lpstr>規劃</vt:lpstr>
      <vt:lpstr>通貨膨漲率</vt:lpstr>
      <vt:lpstr>報酬率模式</vt:lpstr>
      <vt:lpstr>標準差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2016-03-15T09:59:58Z</dcterms:created>
  <dcterms:modified xsi:type="dcterms:W3CDTF">2016-04-12T03:37:33Z</dcterms:modified>
</cp:coreProperties>
</file>