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ley\OneDrive\masterhsiao\Smart\SC236\"/>
    </mc:Choice>
  </mc:AlternateContent>
  <xr:revisionPtr revIDLastSave="367" documentId="8_{D7FA1AC3-23DF-4EBA-9F5D-9EC9A8072B77}" xr6:coauthVersionLast="28" xr6:coauthVersionMax="28" xr10:uidLastSave="{61825441-FBCE-42E6-8348-B852D1E719D1}"/>
  <bookViews>
    <workbookView xWindow="0" yWindow="0" windowWidth="18240" windowHeight="8460" activeTab="1" xr2:uid="{F618BD39-3FA1-444E-AAF8-A5F7FD12827E}"/>
  </bookViews>
  <sheets>
    <sheet name="最佳股債組合" sheetId="1" r:id="rId1"/>
    <sheet name="工作表1" sheetId="2" r:id="rId2"/>
  </sheets>
  <definedNames>
    <definedName name="IVV月平均">最佳股債組合!$B$6</definedName>
    <definedName name="IVV月標準差">最佳股債組合!$B$7</definedName>
    <definedName name="IVV權重">最佳股債組合!$B$3</definedName>
    <definedName name="solver_adj" localSheetId="0" hidden="1">最佳股債組合!$B$2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最佳股債組合!$B$2</definedName>
    <definedName name="solver_lhs2" localSheetId="0" hidden="1">最佳股債組合!$B$2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最佳股債組合!$B$12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LT月平均">最佳股債組合!$B$4</definedName>
    <definedName name="TLT月標準差">最佳股債組合!$B$5</definedName>
    <definedName name="TLT權重">最佳股債組合!$B$2</definedName>
    <definedName name="定存月利率">最佳股債組合!$B$9</definedName>
    <definedName name="定存權重">最佳股債組合!$B$15</definedName>
    <definedName name="相關係數">最佳股債組合!$B$8</definedName>
    <definedName name="風險組合平均">最佳股債組合!$B$10</definedName>
    <definedName name="風險組合標準差">最佳股債組合!$B$11</definedName>
    <definedName name="夏普值">最佳股債組合!$B$12</definedName>
    <definedName name="總平均">最佳股債組合!$B$16</definedName>
    <definedName name="總標準差">最佳股債組合!$B$17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1" i="2"/>
  <c r="B5" i="2"/>
  <c r="C5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B3" i="2" s="1"/>
  <c r="C3" i="2" s="1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1" i="2"/>
  <c r="B6" i="2" l="1"/>
  <c r="B4" i="2"/>
  <c r="C4" i="2" s="1"/>
  <c r="B2" i="2"/>
  <c r="C2" i="2" s="1"/>
  <c r="E33" i="1" l="1"/>
  <c r="E32" i="1" s="1"/>
  <c r="E31" i="1" s="1"/>
  <c r="E30" i="1" s="1"/>
  <c r="E29" i="1" s="1"/>
  <c r="E28" i="1" s="1"/>
  <c r="E27" i="1" s="1"/>
  <c r="E26" i="1" s="1"/>
  <c r="E25" i="1" s="1"/>
  <c r="E24" i="1" s="1"/>
  <c r="A22" i="1"/>
  <c r="E22" i="1"/>
  <c r="G22" i="1"/>
  <c r="F22" i="1"/>
  <c r="C22" i="1"/>
  <c r="B22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B9" i="1"/>
  <c r="B3" i="1"/>
  <c r="B11" i="1" s="1"/>
  <c r="B17" i="1" s="1"/>
  <c r="G23" i="1" s="1"/>
  <c r="B19" i="1" l="1"/>
  <c r="C23" i="1"/>
  <c r="B10" i="1"/>
  <c r="B16" i="1" l="1"/>
  <c r="F23" i="1" s="1"/>
  <c r="B12" i="1"/>
  <c r="B23" i="1"/>
  <c r="B18" i="1" l="1"/>
</calcChain>
</file>

<file path=xl/sharedStrings.xml><?xml version="1.0" encoding="utf-8"?>
<sst xmlns="http://schemas.openxmlformats.org/spreadsheetml/2006/main" count="31" uniqueCount="30">
  <si>
    <t>TLT月標準差</t>
    <phoneticPr fontId="2" type="noConversion"/>
  </si>
  <si>
    <t>IVV月標準差</t>
    <phoneticPr fontId="2" type="noConversion"/>
  </si>
  <si>
    <t>相關係數</t>
    <phoneticPr fontId="2" type="noConversion"/>
  </si>
  <si>
    <t>IVV月平均</t>
    <phoneticPr fontId="2" type="noConversion"/>
  </si>
  <si>
    <t>TLT月平均</t>
    <phoneticPr fontId="2" type="noConversion"/>
  </si>
  <si>
    <t>TLT權重</t>
    <phoneticPr fontId="2" type="noConversion"/>
  </si>
  <si>
    <t>夏普值</t>
    <phoneticPr fontId="2" type="noConversion"/>
  </si>
  <si>
    <t>IVV權重</t>
    <phoneticPr fontId="2" type="noConversion"/>
  </si>
  <si>
    <t>定存月利率</t>
    <phoneticPr fontId="2" type="noConversion"/>
  </si>
  <si>
    <t>定存權重</t>
    <phoneticPr fontId="2" type="noConversion"/>
  </si>
  <si>
    <t>風險組合平均</t>
    <phoneticPr fontId="2" type="noConversion"/>
  </si>
  <si>
    <t>風險組合標準差</t>
    <phoneticPr fontId="2" type="noConversion"/>
  </si>
  <si>
    <t>總平均</t>
    <phoneticPr fontId="2" type="noConversion"/>
  </si>
  <si>
    <t>總標準差</t>
    <phoneticPr fontId="2" type="noConversion"/>
  </si>
  <si>
    <t>年化總平均</t>
    <phoneticPr fontId="2" type="noConversion"/>
  </si>
  <si>
    <t>年化總標準差</t>
    <phoneticPr fontId="2" type="noConversion"/>
  </si>
  <si>
    <t>風險資產組合</t>
    <phoneticPr fontId="2" type="noConversion"/>
  </si>
  <si>
    <t>定存與風險資產組合</t>
    <phoneticPr fontId="2" type="noConversion"/>
  </si>
  <si>
    <t>日期</t>
    <phoneticPr fontId="2" type="noConversion"/>
  </si>
  <si>
    <t>TLT</t>
  </si>
  <si>
    <t>IVV</t>
  </si>
  <si>
    <t>TLT報酬率</t>
    <phoneticPr fontId="2" type="noConversion"/>
  </si>
  <si>
    <t>IVV報酬率</t>
    <phoneticPr fontId="2" type="noConversion"/>
  </si>
  <si>
    <t>績效表</t>
    <phoneticPr fontId="2" type="noConversion"/>
  </si>
  <si>
    <t>IVV平均報酬率</t>
    <phoneticPr fontId="2" type="noConversion"/>
  </si>
  <si>
    <t>IVV標準差</t>
    <phoneticPr fontId="2" type="noConversion"/>
  </si>
  <si>
    <t>TLT標準差</t>
    <phoneticPr fontId="2" type="noConversion"/>
  </si>
  <si>
    <t>TLT平均報酬率</t>
    <phoneticPr fontId="2" type="noConversion"/>
  </si>
  <si>
    <t>月</t>
    <phoneticPr fontId="2" type="noConversion"/>
  </si>
  <si>
    <t>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</si>
</sst>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%"/>
    <numFmt numFmtId="177" formatCode="0.000%"/>
    <numFmt numFmtId="178" formatCode="0.000"/>
    <numFmt numFmtId="179" formatCode="#,##0.00_ ;[Red]\-#,##0.00\ "/>
    <numFmt numFmtId="180" formatCode="0.0000%"/>
    <numFmt numFmtId="181" formatCode="0.0000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微軟正黑體 Light"/>
      <family val="2"/>
      <charset val="136"/>
    </font>
    <font>
      <b/>
      <sz val="12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5" borderId="1" xfId="0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0" fontId="3" fillId="7" borderId="1" xfId="0" applyNumberFormat="1" applyFont="1" applyFill="1" applyBorder="1">
      <alignment vertical="center"/>
    </xf>
    <xf numFmtId="0" fontId="3" fillId="7" borderId="1" xfId="0" applyFont="1" applyFill="1" applyBorder="1">
      <alignment vertical="center"/>
    </xf>
    <xf numFmtId="177" fontId="3" fillId="7" borderId="1" xfId="0" applyNumberFormat="1" applyFont="1" applyFill="1" applyBorder="1">
      <alignment vertical="center"/>
    </xf>
    <xf numFmtId="10" fontId="3" fillId="0" borderId="0" xfId="0" applyNumberFormat="1" applyFont="1" applyAlignment="1">
      <alignment horizontal="center" vertical="center"/>
    </xf>
    <xf numFmtId="0" fontId="5" fillId="3" borderId="1" xfId="0" applyFont="1" applyFill="1" applyBorder="1">
      <alignment vertical="center"/>
    </xf>
    <xf numFmtId="10" fontId="5" fillId="3" borderId="1" xfId="1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10" fontId="5" fillId="4" borderId="1" xfId="1" applyNumberFormat="1" applyFont="1" applyFill="1" applyBorder="1">
      <alignment vertical="center"/>
    </xf>
    <xf numFmtId="10" fontId="3" fillId="0" borderId="0" xfId="1" applyNumberFormat="1" applyFont="1" applyAlignment="1">
      <alignment horizontal="center" vertical="center"/>
    </xf>
    <xf numFmtId="179" fontId="5" fillId="3" borderId="1" xfId="1" applyNumberFormat="1" applyFont="1" applyFill="1" applyBorder="1">
      <alignment vertical="center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9" fontId="3" fillId="5" borderId="0" xfId="0" applyNumberFormat="1" applyFont="1" applyFill="1" applyAlignment="1">
      <alignment horizontal="center" vertical="center"/>
    </xf>
    <xf numFmtId="10" fontId="3" fillId="5" borderId="0" xfId="1" applyNumberFormat="1" applyFont="1" applyFill="1" applyAlignment="1">
      <alignment horizontal="center" vertical="center"/>
    </xf>
    <xf numFmtId="180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10" fontId="6" fillId="8" borderId="1" xfId="1" applyNumberFormat="1" applyFont="1" applyFill="1" applyBorder="1" applyAlignment="1">
      <alignment horizontal="center" vertical="center"/>
    </xf>
    <xf numFmtId="176" fontId="6" fillId="8" borderId="1" xfId="1" quotePrefix="1" applyNumberFormat="1" applyFont="1" applyFill="1" applyBorder="1" applyAlignment="1">
      <alignment horizontal="center" vertical="center"/>
    </xf>
    <xf numFmtId="178" fontId="6" fillId="8" borderId="2" xfId="0" applyNumberFormat="1" applyFont="1" applyFill="1" applyBorder="1" applyAlignment="1">
      <alignment horizontal="center" vertical="center"/>
    </xf>
    <xf numFmtId="178" fontId="6" fillId="8" borderId="3" xfId="0" applyNumberFormat="1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9"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80" formatCode="0.0000%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80" formatCode="0.0000%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81" formatCode="0.000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81" formatCode="0.000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9" formatCode="yyyy/m/d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88D525C-C019-4836-AD7D-D329BACA2CC5}">
      <tableStyleElement type="wholeTable" dxfId="8"/>
      <tableStyleElement type="headerRow" dxfId="7"/>
    </tableStyle>
  </tableStyles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831629312087"/>
          <c:y val="0.14708142086744536"/>
          <c:w val="0.81130221444575279"/>
          <c:h val="0.6734001520912547"/>
        </c:manualLayout>
      </c:layout>
      <c:scatterChart>
        <c:scatterStyle val="smoothMarker"/>
        <c:varyColors val="0"/>
        <c:ser>
          <c:idx val="0"/>
          <c:order val="0"/>
          <c:tx>
            <c:v>TLT+IVV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6928752901475639E-2"/>
                  <c:y val="-3.7983466724090489E-2"/>
                </c:manualLayout>
              </c:layout>
              <c:tx>
                <c:rich>
                  <a:bodyPr/>
                  <a:lstStyle/>
                  <a:p>
                    <a:fld id="{6485EE93-4E62-4B7A-9B87-BAAE0C121B77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248-485A-9B48-3CEC1CF6FEBA}"/>
                </c:ext>
              </c:extLst>
            </c:dLbl>
            <c:dLbl>
              <c:idx val="1"/>
              <c:layout>
                <c:manualLayout>
                  <c:x val="-4.1852586621672391E-2"/>
                  <c:y val="-3.7626159695817493E-2"/>
                </c:manualLayout>
              </c:layout>
              <c:tx>
                <c:rich>
                  <a:bodyPr/>
                  <a:lstStyle/>
                  <a:p>
                    <a:fld id="{F16CE724-BFAE-46D0-9BB5-AA8378DFDC87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248-485A-9B48-3CEC1CF6FEBA}"/>
                </c:ext>
              </c:extLst>
            </c:dLbl>
            <c:dLbl>
              <c:idx val="2"/>
              <c:layout>
                <c:manualLayout>
                  <c:x val="-4.4314503481770857E-2"/>
                  <c:y val="-3.7983466724090489E-2"/>
                </c:manualLayout>
              </c:layout>
              <c:tx>
                <c:rich>
                  <a:bodyPr/>
                  <a:lstStyle/>
                  <a:p>
                    <a:fld id="{BE7EFE72-06DC-4C37-888B-DEEB6BFBDBFE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248-485A-9B48-3CEC1CF6FEBA}"/>
                </c:ext>
              </c:extLst>
            </c:dLbl>
            <c:dLbl>
              <c:idx val="3"/>
              <c:layout>
                <c:manualLayout>
                  <c:x val="-3.9390669761574106E-2"/>
                  <c:y val="-4.6848365019011406E-2"/>
                </c:manualLayout>
              </c:layout>
              <c:tx>
                <c:rich>
                  <a:bodyPr/>
                  <a:lstStyle/>
                  <a:p>
                    <a:fld id="{B2E0B934-4E6C-43D3-B13F-8E42A70ABF22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248-485A-9B48-3CEC1CF6FEBA}"/>
                </c:ext>
              </c:extLst>
            </c:dLbl>
            <c:dLbl>
              <c:idx val="4"/>
              <c:layout>
                <c:manualLayout>
                  <c:x val="-4.6776420341869233E-2"/>
                  <c:y val="-3.7693079847908748E-2"/>
                </c:manualLayout>
              </c:layout>
              <c:tx>
                <c:rich>
                  <a:bodyPr/>
                  <a:lstStyle/>
                  <a:p>
                    <a:fld id="{87C133F1-B527-474C-8C0A-815F7CBC54F9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248-485A-9B48-3CEC1CF6FEBA}"/>
                </c:ext>
              </c:extLst>
            </c:dLbl>
            <c:dLbl>
              <c:idx val="5"/>
              <c:layout>
                <c:manualLayout>
                  <c:x val="-7.3857505802951279E-2"/>
                  <c:y val="-1.7238935361216731E-2"/>
                </c:manualLayout>
              </c:layout>
              <c:tx>
                <c:rich>
                  <a:bodyPr/>
                  <a:lstStyle/>
                  <a:p>
                    <a:fld id="{D514717E-1112-4F99-9255-C1E232E9EDA5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248-485A-9B48-3CEC1CF6FEBA}"/>
                </c:ext>
              </c:extLst>
            </c:dLbl>
            <c:dLbl>
              <c:idx val="6"/>
              <c:layout>
                <c:manualLayout>
                  <c:x val="-5.1700254062065985E-2"/>
                  <c:y val="3.3763041825095055E-2"/>
                </c:manualLayout>
              </c:layout>
              <c:tx>
                <c:rich>
                  <a:bodyPr/>
                  <a:lstStyle/>
                  <a:p>
                    <a:fld id="{33327C77-9189-492D-AFC5-64E5E6062175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248-485A-9B48-3CEC1CF6FEBA}"/>
                </c:ext>
              </c:extLst>
            </c:dLbl>
            <c:dLbl>
              <c:idx val="7"/>
              <c:layout>
                <c:manualLayout>
                  <c:x val="-4.9238337201967519E-2"/>
                  <c:y val="5.0644622298787322E-2"/>
                </c:manualLayout>
              </c:layout>
              <c:tx>
                <c:rich>
                  <a:bodyPr/>
                  <a:lstStyle/>
                  <a:p>
                    <a:fld id="{AB282C11-CD89-48DE-94C6-E852A8A612C7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248-485A-9B48-3CEC1CF6FEBA}"/>
                </c:ext>
              </c:extLst>
            </c:dLbl>
            <c:dLbl>
              <c:idx val="8"/>
              <c:layout>
                <c:manualLayout>
                  <c:x val="-4.4314503481770767E-2"/>
                  <c:y val="4.6424237107221711E-2"/>
                </c:manualLayout>
              </c:layout>
              <c:tx>
                <c:rich>
                  <a:bodyPr/>
                  <a:lstStyle/>
                  <a:p>
                    <a:fld id="{D102056A-CE98-4C8B-B30A-E7FA41FC9A1F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248-485A-9B48-3CEC1CF6FEBA}"/>
                </c:ext>
              </c:extLst>
            </c:dLbl>
            <c:dLbl>
              <c:idx val="9"/>
              <c:layout>
                <c:manualLayout>
                  <c:x val="-4.4314503481770767E-2"/>
                  <c:y val="4.6424237107221711E-2"/>
                </c:manualLayout>
              </c:layout>
              <c:tx>
                <c:rich>
                  <a:bodyPr/>
                  <a:lstStyle/>
                  <a:p>
                    <a:fld id="{737BB666-9255-4FC7-BE6D-6B9EAE71F77F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248-485A-9B48-3CEC1CF6FEBA}"/>
                </c:ext>
              </c:extLst>
            </c:dLbl>
            <c:dLbl>
              <c:idx val="10"/>
              <c:layout>
                <c:manualLayout>
                  <c:x val="-4.6776420341869143E-2"/>
                  <c:y val="4.2203851915656024E-2"/>
                </c:manualLayout>
              </c:layout>
              <c:tx>
                <c:rich>
                  <a:bodyPr/>
                  <a:lstStyle/>
                  <a:p>
                    <a:fld id="{3487E3A5-B439-4A8F-A28A-B37A892D4DA8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248-485A-9B48-3CEC1CF6F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最佳股債組合!$C$24:$C$34</c:f>
              <c:numCache>
                <c:formatCode>0.00%</c:formatCode>
                <c:ptCount val="11"/>
                <c:pt idx="0">
                  <c:v>4.3299999999999998E-2</c:v>
                </c:pt>
                <c:pt idx="1">
                  <c:v>3.7829687759747634E-2</c:v>
                </c:pt>
                <c:pt idx="2">
                  <c:v>3.2901547440811953E-2</c:v>
                </c:pt>
                <c:pt idx="3">
                  <c:v>2.8795305936905755E-2</c:v>
                </c:pt>
                <c:pt idx="4">
                  <c:v>2.5904801408233185E-2</c:v>
                </c:pt>
                <c:pt idx="5">
                  <c:v>2.4661287476528879E-2</c:v>
                </c:pt>
                <c:pt idx="6">
                  <c:v>2.5308708698785879E-2</c:v>
                </c:pt>
                <c:pt idx="7">
                  <c:v>2.7714863232568908E-2</c:v>
                </c:pt>
                <c:pt idx="8">
                  <c:v>3.1479006083420101E-2</c:v>
                </c:pt>
                <c:pt idx="9">
                  <c:v>3.6179735709371899E-2</c:v>
                </c:pt>
                <c:pt idx="10">
                  <c:v>4.1499999999999995E-2</c:v>
                </c:pt>
              </c:numCache>
            </c:numRef>
          </c:xVal>
          <c:yVal>
            <c:numRef>
              <c:f>最佳股債組合!$B$24:$B$34</c:f>
              <c:numCache>
                <c:formatCode>0.00%</c:formatCode>
                <c:ptCount val="11"/>
                <c:pt idx="0">
                  <c:v>8.8000000000000005E-3</c:v>
                </c:pt>
                <c:pt idx="1">
                  <c:v>8.5000000000000006E-3</c:v>
                </c:pt>
                <c:pt idx="2">
                  <c:v>8.2000000000000007E-3</c:v>
                </c:pt>
                <c:pt idx="3">
                  <c:v>7.9000000000000008E-3</c:v>
                </c:pt>
                <c:pt idx="4">
                  <c:v>7.6E-3</c:v>
                </c:pt>
                <c:pt idx="5">
                  <c:v>7.3000000000000001E-3</c:v>
                </c:pt>
                <c:pt idx="6">
                  <c:v>7.0000000000000001E-3</c:v>
                </c:pt>
                <c:pt idx="7">
                  <c:v>6.6999999999999994E-3</c:v>
                </c:pt>
                <c:pt idx="8">
                  <c:v>6.3999999999999994E-3</c:v>
                </c:pt>
                <c:pt idx="9">
                  <c:v>6.0999999999999995E-3</c:v>
                </c:pt>
                <c:pt idx="10">
                  <c:v>5.7999999999999987E-3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最佳股債組合!$A$24:$A$34</c15:f>
                <c15:dlblRangeCache>
                  <c:ptCount val="11"/>
                  <c:pt idx="0">
                    <c:v>0%</c:v>
                  </c:pt>
                  <c:pt idx="1">
                    <c:v>10%</c:v>
                  </c:pt>
                  <c:pt idx="2">
                    <c:v>20%</c:v>
                  </c:pt>
                  <c:pt idx="3">
                    <c:v>30%</c:v>
                  </c:pt>
                  <c:pt idx="4">
                    <c:v>40%</c:v>
                  </c:pt>
                  <c:pt idx="5">
                    <c:v>50%</c:v>
                  </c:pt>
                  <c:pt idx="6">
                    <c:v>60%</c:v>
                  </c:pt>
                  <c:pt idx="7">
                    <c:v>70%</c:v>
                  </c:pt>
                  <c:pt idx="8">
                    <c:v>80%</c:v>
                  </c:pt>
                  <c:pt idx="9">
                    <c:v>90%</c:v>
                  </c:pt>
                  <c:pt idx="10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248-485A-9B48-3CEC1CF6FEBA}"/>
            </c:ext>
          </c:extLst>
        </c:ser>
        <c:ser>
          <c:idx val="1"/>
          <c:order val="1"/>
          <c:tx>
            <c:v>TLT+IVV+定存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0.1329435104453123"/>
                  <c:y val="-1.931558935361213E-2"/>
                </c:manualLayout>
              </c:layout>
              <c:tx>
                <c:rich>
                  <a:bodyPr/>
                  <a:lstStyle/>
                  <a:p>
                    <a:fld id="{DAF7A65B-0D41-42BD-A4FB-8B4ED376D52F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248-485A-9B48-3CEC1CF6FEBA}"/>
                </c:ext>
              </c:extLst>
            </c:dLbl>
            <c:dLbl>
              <c:idx val="1"/>
              <c:layout>
                <c:manualLayout>
                  <c:x val="-0.10340050812413179"/>
                  <c:y val="-1.5452471482889769E-2"/>
                </c:manualLayout>
              </c:layout>
              <c:tx>
                <c:rich>
                  <a:bodyPr/>
                  <a:lstStyle/>
                  <a:p>
                    <a:fld id="{75DBBA4D-EEA5-4B78-B9DE-07A0B82FD6CA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248-485A-9B48-3CEC1CF6FEBA}"/>
                </c:ext>
              </c:extLst>
            </c:dLbl>
            <c:dLbl>
              <c:idx val="2"/>
              <c:layout>
                <c:manualLayout>
                  <c:x val="-2.4619168600984662E-3"/>
                  <c:y val="7.726235741444867E-3"/>
                </c:manualLayout>
              </c:layout>
              <c:tx>
                <c:rich>
                  <a:bodyPr/>
                  <a:lstStyle/>
                  <a:p>
                    <a:fld id="{D44B5CF9-EB46-466E-BD01-65E1A481D890}" type="CELLRANGE">
                      <a:rPr lang="en-US" altLang="zh-TW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248-485A-9B48-3CEC1CF6FE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D3084A-EBFA-4D59-804B-6EEF2E94631D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248-485A-9B48-3CEC1CF6FE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8F70D24-7E44-45E3-B4F0-939C4C207097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248-485A-9B48-3CEC1CF6FE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750907C-3E72-4E0F-ADB8-2BAE7D44F14E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248-485A-9B48-3CEC1CF6FE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4843E4E-97CB-4713-8C87-35525A7E1272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248-485A-9B48-3CEC1CF6FE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57374B-3A15-4057-98B1-30A9917E6145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248-485A-9B48-3CEC1CF6FE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62A1E4D-C1B1-4054-8307-B60524A643FF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248-485A-9B48-3CEC1CF6FE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317DD1-9412-4F98-9C8E-5D7770B1AFC6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248-485A-9B48-3CEC1CF6FE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061E949-8AE3-4DFB-A819-7DB5B09706BA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248-485A-9B48-3CEC1CF6F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最佳股債組合!$G$24:$G$34</c:f>
              <c:numCache>
                <c:formatCode>0.00%</c:formatCode>
                <c:ptCount val="11"/>
                <c:pt idx="0">
                  <c:v>2.4977138838497007E-2</c:v>
                </c:pt>
                <c:pt idx="1">
                  <c:v>2.2479424954647307E-2</c:v>
                </c:pt>
                <c:pt idx="2">
                  <c:v>1.9981711070797603E-2</c:v>
                </c:pt>
                <c:pt idx="3">
                  <c:v>1.7483997186947903E-2</c:v>
                </c:pt>
                <c:pt idx="4">
                  <c:v>1.4986283303098202E-2</c:v>
                </c:pt>
                <c:pt idx="5">
                  <c:v>1.2488569419248502E-2</c:v>
                </c:pt>
                <c:pt idx="6">
                  <c:v>9.9908555353988016E-3</c:v>
                </c:pt>
                <c:pt idx="7">
                  <c:v>7.4931416515491012E-3</c:v>
                </c:pt>
                <c:pt idx="8">
                  <c:v>4.9954277676994008E-3</c:v>
                </c:pt>
                <c:pt idx="9">
                  <c:v>2.4977138838497004E-3</c:v>
                </c:pt>
                <c:pt idx="10">
                  <c:v>0</c:v>
                </c:pt>
              </c:numCache>
            </c:numRef>
          </c:xVal>
          <c:yVal>
            <c:numRef>
              <c:f>最佳股債組合!$F$24:$F$34</c:f>
              <c:numCache>
                <c:formatCode>0.00%</c:formatCode>
                <c:ptCount val="11"/>
                <c:pt idx="0">
                  <c:v>7.4306505241519228E-3</c:v>
                </c:pt>
                <c:pt idx="1">
                  <c:v>6.7709188050700643E-3</c:v>
                </c:pt>
                <c:pt idx="2">
                  <c:v>6.1111870859882041E-3</c:v>
                </c:pt>
                <c:pt idx="3">
                  <c:v>5.4514553669063456E-3</c:v>
                </c:pt>
                <c:pt idx="4">
                  <c:v>4.7917236478244862E-3</c:v>
                </c:pt>
                <c:pt idx="5">
                  <c:v>4.1319919287426277E-3</c:v>
                </c:pt>
                <c:pt idx="6">
                  <c:v>3.4722602096607688E-3</c:v>
                </c:pt>
                <c:pt idx="7">
                  <c:v>2.8125284905789099E-3</c:v>
                </c:pt>
                <c:pt idx="8">
                  <c:v>2.1527967714970514E-3</c:v>
                </c:pt>
                <c:pt idx="9">
                  <c:v>1.4930650524151922E-3</c:v>
                </c:pt>
                <c:pt idx="10">
                  <c:v>8.3333333333333339E-4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最佳股債組合!$E$24:$E$34</c15:f>
                <c15:dlblRangeCache>
                  <c:ptCount val="11"/>
                  <c:pt idx="0">
                    <c:v>0%</c:v>
                  </c:pt>
                  <c:pt idx="1">
                    <c:v>10%</c:v>
                  </c:pt>
                  <c:pt idx="2">
                    <c:v>20%</c:v>
                  </c:pt>
                  <c:pt idx="3">
                    <c:v>30%</c:v>
                  </c:pt>
                  <c:pt idx="4">
                    <c:v>40%</c:v>
                  </c:pt>
                  <c:pt idx="5">
                    <c:v>50%</c:v>
                  </c:pt>
                  <c:pt idx="6">
                    <c:v>60%</c:v>
                  </c:pt>
                  <c:pt idx="7">
                    <c:v>70%</c:v>
                  </c:pt>
                  <c:pt idx="8">
                    <c:v>80%</c:v>
                  </c:pt>
                  <c:pt idx="9">
                    <c:v>90%</c:v>
                  </c:pt>
                  <c:pt idx="10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248-485A-9B48-3CEC1CF6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697048"/>
        <c:axId val="729696392"/>
      </c:scatterChart>
      <c:valAx>
        <c:axId val="72969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月標準差</a:t>
                </a:r>
              </a:p>
            </c:rich>
          </c:tx>
          <c:layout>
            <c:manualLayout>
              <c:xMode val="edge"/>
              <c:yMode val="edge"/>
              <c:x val="0.49411194781821827"/>
              <c:y val="0.89464669201520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29696392"/>
        <c:crosses val="autoZero"/>
        <c:crossBetween val="midCat"/>
      </c:valAx>
      <c:valAx>
        <c:axId val="72969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平均 報酬率</a:t>
                </a:r>
              </a:p>
            </c:rich>
          </c:tx>
          <c:layout>
            <c:manualLayout>
              <c:xMode val="edge"/>
              <c:yMode val="edge"/>
              <c:x val="1.4876181090074754E-2"/>
              <c:y val="0.38134114068441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29697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2880706364656"/>
          <c:y val="6.174479087452469E-2"/>
          <c:w val="0.39556280627364154"/>
          <c:h val="7.2173034238361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440463</xdr:colOff>
      <xdr:row>0</xdr:row>
      <xdr:rowOff>191196</xdr:rowOff>
    </xdr:from>
    <xdr:to>
      <xdr:col>10</xdr:col>
      <xdr:colOff>46382</xdr:colOff>
      <xdr:row>15</xdr:row>
      <xdr:rowOff>178904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912598D-E427-4BF2-AAC1-0833269C92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158263</xdr:colOff>
      <xdr:row>0</xdr:row>
      <xdr:rowOff>52754</xdr:rowOff>
    </xdr:from>
    <xdr:to>
      <xdr:col>5</xdr:col>
      <xdr:colOff>7013</xdr:colOff>
      <xdr:row>3</xdr:row>
      <xdr:rowOff>111369</xdr:rowOff>
    </xdr:to>
    <xdr:pic>
      <xdr:nvPicPr>
        <xdr:cNvPr id="3" name="圖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F77E69-1179-4F02-9ADF-4CC4A60CE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463" y="52754"/>
          <a:ext cx="1601350" cy="6564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AF2162-E483-409C-9B2B-886FCD50A347}" name="績效表" displayName="績效表" ref="A9:E130" totalsRowShown="0" headerRowDxfId="6" dataDxfId="5">
  <tableColumns count="5">
    <tableColumn id="1" xr3:uid="{87B5360F-71B7-48BE-B3A8-8DE6E9AA4A5B}" name="日期" dataDxfId="4"/>
    <tableColumn id="2" xr3:uid="{46F58F3F-D255-4E10-BEAC-295A66C23B87}" name="TLT" dataDxfId="3"/>
    <tableColumn id="3" xr3:uid="{294878DC-1D24-4313-BCFA-085868F2CB6B}" name="IVV" dataDxfId="2"/>
    <tableColumn id="4" xr3:uid="{26D133D8-446F-4BEB-8F14-0898443975F9}" name="TLT報酬率" dataDxfId="1">
      <calculatedColumnFormula>績效表[[#This Row],[TLT]]/B9-1</calculatedColumnFormula>
    </tableColumn>
    <tableColumn id="5" xr3:uid="{2036A58F-110E-49EF-A0F8-03F88695CE65}" name="IVV報酬率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BF3C-E330-4EE0-9ED0-10F937F89C12}">
  <dimension ref="A1:H34"/>
  <sheetViews>
    <sheetView zoomScale="115" zoomScaleNormal="115" workbookViewId="0">
      <selection activeCell="M9" sqref="M9"/>
    </sheetView>
  </sheetViews>
  <sheetFormatPr defaultColWidth="8.88671875" defaultRowHeight="15.6" x14ac:dyDescent="0.3"/>
  <cols>
    <col min="1" max="1" width="22.6640625" style="1" bestFit="1" customWidth="1"/>
    <col min="2" max="2" width="13" style="1" customWidth="1"/>
    <col min="3" max="3" width="17.77734375" style="1" bestFit="1" customWidth="1"/>
    <col min="4" max="4" width="4.109375" style="1" customWidth="1"/>
    <col min="5" max="5" width="10.44140625" style="1" bestFit="1" customWidth="1"/>
    <col min="6" max="6" width="9.88671875" style="1" customWidth="1"/>
    <col min="7" max="7" width="10.44140625" style="1" bestFit="1" customWidth="1"/>
    <col min="8" max="16384" width="8.88671875" style="1"/>
  </cols>
  <sheetData>
    <row r="1" spans="1:3" x14ac:dyDescent="0.3">
      <c r="A1" s="6" t="s">
        <v>16</v>
      </c>
    </row>
    <row r="2" spans="1:3" x14ac:dyDescent="0.3">
      <c r="A2" s="7" t="s">
        <v>5</v>
      </c>
      <c r="B2" s="8">
        <v>0.45644982528269235</v>
      </c>
    </row>
    <row r="3" spans="1:3" x14ac:dyDescent="0.3">
      <c r="A3" s="7" t="s">
        <v>7</v>
      </c>
      <c r="B3" s="9">
        <f>1-TLT權重</f>
        <v>0.54355017471730771</v>
      </c>
      <c r="C3" s="2"/>
    </row>
    <row r="4" spans="1:3" x14ac:dyDescent="0.3">
      <c r="A4" s="7" t="s">
        <v>4</v>
      </c>
      <c r="B4" s="11">
        <v>5.7999999999999996E-3</v>
      </c>
      <c r="C4" s="2"/>
    </row>
    <row r="5" spans="1:3" x14ac:dyDescent="0.3">
      <c r="A5" s="7" t="s">
        <v>0</v>
      </c>
      <c r="B5" s="11">
        <v>4.1500000000000002E-2</v>
      </c>
      <c r="C5" s="2"/>
    </row>
    <row r="6" spans="1:3" x14ac:dyDescent="0.3">
      <c r="A6" s="7" t="s">
        <v>3</v>
      </c>
      <c r="B6" s="11">
        <v>8.8000000000000005E-3</v>
      </c>
      <c r="C6" s="2"/>
    </row>
    <row r="7" spans="1:3" x14ac:dyDescent="0.3">
      <c r="A7" s="7" t="s">
        <v>1</v>
      </c>
      <c r="B7" s="11">
        <v>4.3299999999999998E-2</v>
      </c>
    </row>
    <row r="8" spans="1:3" x14ac:dyDescent="0.3">
      <c r="A8" s="7" t="s">
        <v>2</v>
      </c>
      <c r="B8" s="12">
        <v>-0.32400000000000001</v>
      </c>
    </row>
    <row r="9" spans="1:3" x14ac:dyDescent="0.3">
      <c r="A9" s="7" t="s">
        <v>8</v>
      </c>
      <c r="B9" s="13">
        <f>1%/12</f>
        <v>8.3333333333333339E-4</v>
      </c>
      <c r="C9" s="2"/>
    </row>
    <row r="10" spans="1:3" x14ac:dyDescent="0.3">
      <c r="A10" s="15" t="s">
        <v>10</v>
      </c>
      <c r="B10" s="16">
        <f>TLT權重*TLT月平均+IVV權重*IVV月平均</f>
        <v>7.4306505241519237E-3</v>
      </c>
      <c r="C10" s="2"/>
    </row>
    <row r="11" spans="1:3" x14ac:dyDescent="0.3">
      <c r="A11" s="15" t="s">
        <v>11</v>
      </c>
      <c r="B11" s="16">
        <f>((TLT權重*TLT月標準差)^2+(IVV權重*IVV月標準差)^2+2*相關係數*TLT權重*IVV權重*TLT月標準差*IVV月標準差)^0.5</f>
        <v>2.4977138838497011E-2</v>
      </c>
    </row>
    <row r="12" spans="1:3" x14ac:dyDescent="0.3">
      <c r="A12" s="15" t="s">
        <v>6</v>
      </c>
      <c r="B12" s="20">
        <f>(風險組合平均-定存月利率)*12/(風險組合標準差*12^0.5)</f>
        <v>0.91498779279980857</v>
      </c>
    </row>
    <row r="14" spans="1:3" x14ac:dyDescent="0.3">
      <c r="A14" s="6" t="s">
        <v>17</v>
      </c>
    </row>
    <row r="15" spans="1:3" x14ac:dyDescent="0.3">
      <c r="A15" s="7" t="s">
        <v>9</v>
      </c>
      <c r="B15" s="10">
        <v>0.4</v>
      </c>
    </row>
    <row r="16" spans="1:3" x14ac:dyDescent="0.3">
      <c r="A16" s="15" t="s">
        <v>12</v>
      </c>
      <c r="B16" s="16">
        <f>定存權重*定存月利率+(1-定存權重)*風險組合平均</f>
        <v>4.7917236478244871E-3</v>
      </c>
    </row>
    <row r="17" spans="1:8" x14ac:dyDescent="0.3">
      <c r="A17" s="15" t="s">
        <v>13</v>
      </c>
      <c r="B17" s="16">
        <f>風險組合標準差*(1-定存權重)</f>
        <v>1.4986283303098206E-2</v>
      </c>
    </row>
    <row r="18" spans="1:8" x14ac:dyDescent="0.3">
      <c r="A18" s="17" t="s">
        <v>14</v>
      </c>
      <c r="B18" s="18">
        <f>總平均*12</f>
        <v>5.7500683773893849E-2</v>
      </c>
    </row>
    <row r="19" spans="1:8" x14ac:dyDescent="0.3">
      <c r="A19" s="17" t="s">
        <v>15</v>
      </c>
      <c r="B19" s="18">
        <f>總標準差*12^0.5</f>
        <v>5.1914008195174458E-2</v>
      </c>
    </row>
    <row r="22" spans="1:8" ht="16.95" customHeight="1" x14ac:dyDescent="0.3">
      <c r="A22" s="21" t="str">
        <f>A2</f>
        <v>TLT權重</v>
      </c>
      <c r="B22" s="22" t="str">
        <f>A10</f>
        <v>風險組合平均</v>
      </c>
      <c r="C22" s="21" t="str">
        <f>A11</f>
        <v>風險組合標準差</v>
      </c>
      <c r="D22" s="3"/>
      <c r="E22" s="21" t="str">
        <f>A15</f>
        <v>定存權重</v>
      </c>
      <c r="F22" s="21" t="str">
        <f>A16</f>
        <v>總平均</v>
      </c>
      <c r="G22" s="21" t="str">
        <f>A17</f>
        <v>總標準差</v>
      </c>
    </row>
    <row r="23" spans="1:8" hidden="1" x14ac:dyDescent="0.3">
      <c r="A23" s="4"/>
      <c r="B23" s="14">
        <f>風險組合平均</f>
        <v>7.4306505241519237E-3</v>
      </c>
      <c r="C23" s="14">
        <f>風險組合標準差</f>
        <v>2.4977138838497011E-2</v>
      </c>
      <c r="D23" s="4"/>
      <c r="E23" s="4"/>
      <c r="F23" s="14">
        <f>總平均</f>
        <v>4.7917236478244871E-3</v>
      </c>
      <c r="G23" s="14">
        <f>總標準差</f>
        <v>1.4986283303098206E-2</v>
      </c>
      <c r="H23" s="2"/>
    </row>
    <row r="24" spans="1:8" x14ac:dyDescent="0.3">
      <c r="A24" s="5">
        <v>0</v>
      </c>
      <c r="B24" s="19">
        <f t="dataTable" ref="B24:C34" dt2D="0" dtr="0" r1="B2"/>
        <v>8.8000000000000005E-3</v>
      </c>
      <c r="C24" s="19">
        <v>4.3299999999999998E-2</v>
      </c>
      <c r="D24" s="4"/>
      <c r="E24" s="5">
        <f t="shared" ref="E24:E32" si="0">E25-10%</f>
        <v>1.3877787807814457E-16</v>
      </c>
      <c r="F24" s="19">
        <f t="dataTable" ref="F24:G34" dt2D="0" dtr="0" r1="B15"/>
        <v>7.4306505241519228E-3</v>
      </c>
      <c r="G24" s="19">
        <v>2.4977138838497007E-2</v>
      </c>
      <c r="H24" s="2"/>
    </row>
    <row r="25" spans="1:8" x14ac:dyDescent="0.3">
      <c r="A25" s="23">
        <f>A24+10%</f>
        <v>0.1</v>
      </c>
      <c r="B25" s="24">
        <v>8.5000000000000006E-3</v>
      </c>
      <c r="C25" s="24">
        <v>3.7829687759747634E-2</v>
      </c>
      <c r="D25" s="4"/>
      <c r="E25" s="23">
        <f t="shared" si="0"/>
        <v>0.10000000000000014</v>
      </c>
      <c r="F25" s="24">
        <v>6.7709188050700643E-3</v>
      </c>
      <c r="G25" s="24">
        <v>2.2479424954647307E-2</v>
      </c>
      <c r="H25" s="2"/>
    </row>
    <row r="26" spans="1:8" x14ac:dyDescent="0.3">
      <c r="A26" s="5">
        <f t="shared" ref="A26:A34" si="1">A25+10%</f>
        <v>0.2</v>
      </c>
      <c r="B26" s="19">
        <v>8.2000000000000007E-3</v>
      </c>
      <c r="C26" s="19">
        <v>3.2901547440811953E-2</v>
      </c>
      <c r="D26" s="4"/>
      <c r="E26" s="5">
        <f t="shared" si="0"/>
        <v>0.20000000000000015</v>
      </c>
      <c r="F26" s="19">
        <v>6.1111870859882041E-3</v>
      </c>
      <c r="G26" s="19">
        <v>1.9981711070797603E-2</v>
      </c>
      <c r="H26" s="2"/>
    </row>
    <row r="27" spans="1:8" x14ac:dyDescent="0.3">
      <c r="A27" s="23">
        <f t="shared" si="1"/>
        <v>0.30000000000000004</v>
      </c>
      <c r="B27" s="24">
        <v>7.9000000000000008E-3</v>
      </c>
      <c r="C27" s="24">
        <v>2.8795305936905755E-2</v>
      </c>
      <c r="D27" s="4"/>
      <c r="E27" s="23">
        <f t="shared" si="0"/>
        <v>0.30000000000000016</v>
      </c>
      <c r="F27" s="24">
        <v>5.4514553669063456E-3</v>
      </c>
      <c r="G27" s="24">
        <v>1.7483997186947903E-2</v>
      </c>
      <c r="H27" s="2"/>
    </row>
    <row r="28" spans="1:8" x14ac:dyDescent="0.3">
      <c r="A28" s="5">
        <f t="shared" si="1"/>
        <v>0.4</v>
      </c>
      <c r="B28" s="19">
        <v>7.6E-3</v>
      </c>
      <c r="C28" s="19">
        <v>2.5904801408233185E-2</v>
      </c>
      <c r="D28" s="4"/>
      <c r="E28" s="5">
        <f t="shared" si="0"/>
        <v>0.40000000000000013</v>
      </c>
      <c r="F28" s="19">
        <v>4.7917236478244862E-3</v>
      </c>
      <c r="G28" s="19">
        <v>1.4986283303098202E-2</v>
      </c>
      <c r="H28" s="2"/>
    </row>
    <row r="29" spans="1:8" x14ac:dyDescent="0.3">
      <c r="A29" s="23">
        <f t="shared" si="1"/>
        <v>0.5</v>
      </c>
      <c r="B29" s="24">
        <v>7.3000000000000001E-3</v>
      </c>
      <c r="C29" s="24">
        <v>2.4661287476528879E-2</v>
      </c>
      <c r="D29" s="4"/>
      <c r="E29" s="23">
        <f t="shared" si="0"/>
        <v>0.50000000000000011</v>
      </c>
      <c r="F29" s="24">
        <v>4.1319919287426277E-3</v>
      </c>
      <c r="G29" s="24">
        <v>1.2488569419248502E-2</v>
      </c>
      <c r="H29" s="2"/>
    </row>
    <row r="30" spans="1:8" x14ac:dyDescent="0.3">
      <c r="A30" s="5">
        <f t="shared" si="1"/>
        <v>0.6</v>
      </c>
      <c r="B30" s="19">
        <v>7.0000000000000001E-3</v>
      </c>
      <c r="C30" s="19">
        <v>2.5308708698785879E-2</v>
      </c>
      <c r="D30" s="4"/>
      <c r="E30" s="5">
        <f t="shared" si="0"/>
        <v>0.60000000000000009</v>
      </c>
      <c r="F30" s="19">
        <v>3.4722602096607688E-3</v>
      </c>
      <c r="G30" s="19">
        <v>9.9908555353988016E-3</v>
      </c>
      <c r="H30" s="2"/>
    </row>
    <row r="31" spans="1:8" x14ac:dyDescent="0.3">
      <c r="A31" s="23">
        <f t="shared" si="1"/>
        <v>0.7</v>
      </c>
      <c r="B31" s="24">
        <v>6.6999999999999994E-3</v>
      </c>
      <c r="C31" s="24">
        <v>2.7714863232568908E-2</v>
      </c>
      <c r="D31" s="4"/>
      <c r="E31" s="23">
        <f t="shared" si="0"/>
        <v>0.70000000000000007</v>
      </c>
      <c r="F31" s="24">
        <v>2.8125284905789099E-3</v>
      </c>
      <c r="G31" s="24">
        <v>7.4931416515491012E-3</v>
      </c>
      <c r="H31" s="2"/>
    </row>
    <row r="32" spans="1:8" x14ac:dyDescent="0.3">
      <c r="A32" s="5">
        <f t="shared" si="1"/>
        <v>0.79999999999999993</v>
      </c>
      <c r="B32" s="19">
        <v>6.3999999999999994E-3</v>
      </c>
      <c r="C32" s="19">
        <v>3.1479006083420101E-2</v>
      </c>
      <c r="D32" s="4"/>
      <c r="E32" s="5">
        <f t="shared" si="0"/>
        <v>0.8</v>
      </c>
      <c r="F32" s="19">
        <v>2.1527967714970514E-3</v>
      </c>
      <c r="G32" s="19">
        <v>4.9954277676994008E-3</v>
      </c>
      <c r="H32" s="2"/>
    </row>
    <row r="33" spans="1:7" x14ac:dyDescent="0.3">
      <c r="A33" s="23">
        <f t="shared" si="1"/>
        <v>0.89999999999999991</v>
      </c>
      <c r="B33" s="24">
        <v>6.0999999999999995E-3</v>
      </c>
      <c r="C33" s="24">
        <v>3.6179735709371899E-2</v>
      </c>
      <c r="D33" s="4"/>
      <c r="E33" s="23">
        <f>E34-10%</f>
        <v>0.9</v>
      </c>
      <c r="F33" s="24">
        <v>1.4930650524151922E-3</v>
      </c>
      <c r="G33" s="24">
        <v>2.4977138838497004E-3</v>
      </c>
    </row>
    <row r="34" spans="1:7" x14ac:dyDescent="0.3">
      <c r="A34" s="5">
        <f t="shared" si="1"/>
        <v>0.99999999999999989</v>
      </c>
      <c r="B34" s="19">
        <v>5.7999999999999987E-3</v>
      </c>
      <c r="C34" s="19">
        <v>4.1499999999999995E-2</v>
      </c>
      <c r="D34" s="4"/>
      <c r="E34" s="5">
        <v>1</v>
      </c>
      <c r="F34" s="19">
        <v>8.3333333333333339E-4</v>
      </c>
      <c r="G34" s="19">
        <v>0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02E4-9BC9-4E0C-A1BA-CA4924496BFC}">
  <dimension ref="A1:E130"/>
  <sheetViews>
    <sheetView tabSelected="1" zoomScale="130" zoomScaleNormal="130" workbookViewId="0">
      <pane ySplit="5712" topLeftCell="A125"/>
      <selection activeCell="E7" sqref="E7"/>
      <selection pane="bottomLeft" activeCell="J132" sqref="J132"/>
    </sheetView>
  </sheetViews>
  <sheetFormatPr defaultColWidth="9" defaultRowHeight="15.6" x14ac:dyDescent="0.3"/>
  <cols>
    <col min="1" max="1" width="18.21875" style="1" bestFit="1" customWidth="1"/>
    <col min="2" max="2" width="13.44140625" style="1" customWidth="1"/>
    <col min="3" max="3" width="13.88671875" style="1" customWidth="1"/>
    <col min="4" max="4" width="13.77734375" style="1" bestFit="1" customWidth="1"/>
    <col min="5" max="5" width="11.77734375" style="1" bestFit="1" customWidth="1"/>
    <col min="6" max="16384" width="9" style="1"/>
  </cols>
  <sheetData>
    <row r="1" spans="1:5" x14ac:dyDescent="0.3">
      <c r="A1" s="17"/>
      <c r="B1" s="31" t="s">
        <v>28</v>
      </c>
      <c r="C1" s="32" t="s">
        <v>29</v>
      </c>
    </row>
    <row r="2" spans="1:5" x14ac:dyDescent="0.3">
      <c r="A2" s="30" t="s">
        <v>27</v>
      </c>
      <c r="B2" s="33">
        <f>AVERAGE(績效表[TLT報酬率])</f>
        <v>5.8011263635576659E-3</v>
      </c>
      <c r="C2" s="34">
        <f>B2*12</f>
        <v>6.9613516362691988E-2</v>
      </c>
    </row>
    <row r="3" spans="1:5" x14ac:dyDescent="0.3">
      <c r="A3" s="30" t="s">
        <v>26</v>
      </c>
      <c r="B3" s="33">
        <f>_xlfn.STDEV.S(績效表[TLT報酬率])</f>
        <v>4.1718659859778066E-2</v>
      </c>
      <c r="C3" s="34">
        <f>B3*12^0.5</f>
        <v>0.14451767700163981</v>
      </c>
    </row>
    <row r="4" spans="1:5" x14ac:dyDescent="0.3">
      <c r="A4" s="30" t="s">
        <v>24</v>
      </c>
      <c r="B4" s="33">
        <f>AVERAGE(績效表[IVV報酬率])</f>
        <v>8.7674801739728928E-3</v>
      </c>
      <c r="C4" s="34">
        <f>B4*12</f>
        <v>0.10520976208767471</v>
      </c>
    </row>
    <row r="5" spans="1:5" x14ac:dyDescent="0.3">
      <c r="A5" s="30" t="s">
        <v>25</v>
      </c>
      <c r="B5" s="33">
        <f>_xlfn.STDEV.S(績效表[IVV報酬率])</f>
        <v>4.3297923294795461E-2</v>
      </c>
      <c r="C5" s="34">
        <f>B5*12^0.5</f>
        <v>0.14998840601761157</v>
      </c>
    </row>
    <row r="6" spans="1:5" x14ac:dyDescent="0.3">
      <c r="A6" s="30" t="s">
        <v>2</v>
      </c>
      <c r="B6" s="35">
        <f>CORREL(績效表[TLT報酬率],績效表[IVV報酬率])</f>
        <v>-0.3237670463047852</v>
      </c>
      <c r="C6" s="36"/>
    </row>
    <row r="7" spans="1:5" x14ac:dyDescent="0.3">
      <c r="A7" s="28"/>
      <c r="B7" s="29"/>
    </row>
    <row r="8" spans="1:5" x14ac:dyDescent="0.3">
      <c r="A8" s="6" t="s">
        <v>23</v>
      </c>
    </row>
    <row r="9" spans="1:5" x14ac:dyDescent="0.3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</row>
    <row r="10" spans="1:5" x14ac:dyDescent="0.3">
      <c r="A10" s="27">
        <v>39479</v>
      </c>
      <c r="B10" s="26">
        <v>68.691078000000005</v>
      </c>
      <c r="C10" s="26">
        <v>109.16738100000001</v>
      </c>
      <c r="D10" s="25"/>
      <c r="E10" s="25"/>
    </row>
    <row r="11" spans="1:5" x14ac:dyDescent="0.3">
      <c r="A11" s="27">
        <v>39508</v>
      </c>
      <c r="B11" s="26">
        <v>70.144112000000007</v>
      </c>
      <c r="C11" s="26">
        <v>107.926743</v>
      </c>
      <c r="D11" s="25">
        <f>績效表[[#This Row],[TLT]]/B10-1</f>
        <v>2.1153169266028948E-2</v>
      </c>
      <c r="E11" s="25">
        <f>績效表[[#This Row],[IVV]]/C10-1</f>
        <v>-1.1364548536709873E-2</v>
      </c>
    </row>
    <row r="12" spans="1:5" x14ac:dyDescent="0.3">
      <c r="A12" s="27">
        <v>39539</v>
      </c>
      <c r="B12" s="26">
        <v>68.363028999999997</v>
      </c>
      <c r="C12" s="26">
        <v>113.71193700000001</v>
      </c>
      <c r="D12" s="25">
        <f>績效表[[#This Row],[TLT]]/B11-1</f>
        <v>-2.5391767736684834E-2</v>
      </c>
      <c r="E12" s="25">
        <f>績效表[[#This Row],[IVV]]/C11-1</f>
        <v>5.3602970303662456E-2</v>
      </c>
    </row>
    <row r="13" spans="1:5" x14ac:dyDescent="0.3">
      <c r="A13" s="27">
        <v>39569</v>
      </c>
      <c r="B13" s="26">
        <v>66.566993999999994</v>
      </c>
      <c r="C13" s="26">
        <v>115.17216500000001</v>
      </c>
      <c r="D13" s="25">
        <f>績效表[[#This Row],[TLT]]/B12-1</f>
        <v>-2.6272021972578274E-2</v>
      </c>
      <c r="E13" s="25">
        <f>績效表[[#This Row],[IVV]]/C12-1</f>
        <v>1.2841466239379873E-2</v>
      </c>
    </row>
    <row r="14" spans="1:5" x14ac:dyDescent="0.3">
      <c r="A14" s="27">
        <v>39600</v>
      </c>
      <c r="B14" s="26">
        <v>68.332542000000004</v>
      </c>
      <c r="C14" s="26">
        <v>105.007744</v>
      </c>
      <c r="D14" s="25">
        <f>績效表[[#This Row],[TLT]]/B13-1</f>
        <v>2.6522874083814152E-2</v>
      </c>
      <c r="E14" s="25">
        <f>績效表[[#This Row],[IVV]]/C13-1</f>
        <v>-8.825414543522736E-2</v>
      </c>
    </row>
    <row r="15" spans="1:5" x14ac:dyDescent="0.3">
      <c r="A15" s="27">
        <v>39630</v>
      </c>
      <c r="B15" s="26">
        <v>68.083327999999995</v>
      </c>
      <c r="C15" s="26">
        <v>104.727997</v>
      </c>
      <c r="D15" s="25">
        <f>績效表[[#This Row],[TLT]]/B14-1</f>
        <v>-3.6470763812651574E-3</v>
      </c>
      <c r="E15" s="25">
        <f>績效表[[#This Row],[IVV]]/C14-1</f>
        <v>-2.6640606620402796E-3</v>
      </c>
    </row>
    <row r="16" spans="1:5" x14ac:dyDescent="0.3">
      <c r="A16" s="27">
        <v>39661</v>
      </c>
      <c r="B16" s="26">
        <v>69.946479999999994</v>
      </c>
      <c r="C16" s="26">
        <v>106.285965</v>
      </c>
      <c r="D16" s="25">
        <f>績效表[[#This Row],[TLT]]/B15-1</f>
        <v>2.7365759793645861E-2</v>
      </c>
      <c r="E16" s="25">
        <f>績效表[[#This Row],[IVV]]/C15-1</f>
        <v>1.4876327673869261E-2</v>
      </c>
    </row>
    <row r="17" spans="1:5" x14ac:dyDescent="0.3">
      <c r="A17" s="27">
        <v>39692</v>
      </c>
      <c r="B17" s="26">
        <v>70.978736999999995</v>
      </c>
      <c r="C17" s="26">
        <v>96.295364000000006</v>
      </c>
      <c r="D17" s="25">
        <f>績效表[[#This Row],[TLT]]/B16-1</f>
        <v>1.4757811972811341E-2</v>
      </c>
      <c r="E17" s="25">
        <f>績效表[[#This Row],[IVV]]/C16-1</f>
        <v>-9.3997368326100283E-2</v>
      </c>
    </row>
    <row r="18" spans="1:5" x14ac:dyDescent="0.3">
      <c r="A18" s="27">
        <v>39722</v>
      </c>
      <c r="B18" s="26">
        <v>69.697677999999996</v>
      </c>
      <c r="C18" s="26">
        <v>80.738242999999997</v>
      </c>
      <c r="D18" s="25">
        <f>績效表[[#This Row],[TLT]]/B17-1</f>
        <v>-1.804848964838579E-2</v>
      </c>
      <c r="E18" s="25">
        <f>績效表[[#This Row],[IVV]]/C17-1</f>
        <v>-0.16155628219028284</v>
      </c>
    </row>
    <row r="19" spans="1:5" x14ac:dyDescent="0.3">
      <c r="A19" s="27">
        <v>39753</v>
      </c>
      <c r="B19" s="26">
        <v>79.618926999999999</v>
      </c>
      <c r="C19" s="26">
        <v>74.711281</v>
      </c>
      <c r="D19" s="25">
        <f>績效表[[#This Row],[TLT]]/B18-1</f>
        <v>0.14234690860146015</v>
      </c>
      <c r="E19" s="25">
        <f>績效表[[#This Row],[IVV]]/C18-1</f>
        <v>-7.4648168898101996E-2</v>
      </c>
    </row>
    <row r="20" spans="1:5" x14ac:dyDescent="0.3">
      <c r="A20" s="27">
        <v>39783</v>
      </c>
      <c r="B20" s="26">
        <v>90.243590999999995</v>
      </c>
      <c r="C20" s="26">
        <v>74.868790000000004</v>
      </c>
      <c r="D20" s="25">
        <f>績效表[[#This Row],[TLT]]/B19-1</f>
        <v>0.13344394857268038</v>
      </c>
      <c r="E20" s="25">
        <f>績效表[[#This Row],[IVV]]/C19-1</f>
        <v>2.1082358365667186E-3</v>
      </c>
    </row>
    <row r="21" spans="1:5" x14ac:dyDescent="0.3">
      <c r="A21" s="27">
        <v>39814</v>
      </c>
      <c r="B21" s="26">
        <v>78.976021000000003</v>
      </c>
      <c r="C21" s="26">
        <v>69.311385999999999</v>
      </c>
      <c r="D21" s="25">
        <f>績效表[[#This Row],[TLT]]/B20-1</f>
        <v>-0.12485728764937987</v>
      </c>
      <c r="E21" s="25">
        <f>績效表[[#This Row],[IVV]]/C20-1</f>
        <v>-7.4228580427171398E-2</v>
      </c>
    </row>
    <row r="22" spans="1:5" x14ac:dyDescent="0.3">
      <c r="A22" s="27">
        <v>39845</v>
      </c>
      <c r="B22" s="26">
        <v>77.552550999999994</v>
      </c>
      <c r="C22" s="26">
        <v>61.993426999999997</v>
      </c>
      <c r="D22" s="25">
        <f>績效表[[#This Row],[TLT]]/B21-1</f>
        <v>-1.8024078473135696E-2</v>
      </c>
      <c r="E22" s="25">
        <f>績效表[[#This Row],[IVV]]/C21-1</f>
        <v>-0.10558090700999689</v>
      </c>
    </row>
    <row r="23" spans="1:5" x14ac:dyDescent="0.3">
      <c r="A23" s="27">
        <v>39873</v>
      </c>
      <c r="B23" s="26">
        <v>80.689605999999998</v>
      </c>
      <c r="C23" s="26">
        <v>66.512848000000005</v>
      </c>
      <c r="D23" s="25">
        <f>績效表[[#This Row],[TLT]]/B22-1</f>
        <v>4.0450700325770139E-2</v>
      </c>
      <c r="E23" s="25">
        <f>績效表[[#This Row],[IVV]]/C22-1</f>
        <v>7.2901615843886214E-2</v>
      </c>
    </row>
    <row r="24" spans="1:5" x14ac:dyDescent="0.3">
      <c r="A24" s="27">
        <v>39904</v>
      </c>
      <c r="B24" s="26">
        <v>75.07338</v>
      </c>
      <c r="C24" s="26">
        <v>73.758751000000004</v>
      </c>
      <c r="D24" s="25">
        <f>績效表[[#This Row],[TLT]]/B23-1</f>
        <v>-6.9602843270792469E-2</v>
      </c>
      <c r="E24" s="25">
        <f>績效表[[#This Row],[IVV]]/C23-1</f>
        <v>0.10893989985213071</v>
      </c>
    </row>
    <row r="25" spans="1:5" x14ac:dyDescent="0.3">
      <c r="A25" s="27">
        <v>39934</v>
      </c>
      <c r="B25" s="26">
        <v>72.287018000000003</v>
      </c>
      <c r="C25" s="26">
        <v>78.065323000000006</v>
      </c>
      <c r="D25" s="25">
        <f>績效表[[#This Row],[TLT]]/B24-1</f>
        <v>-3.7115179841376467E-2</v>
      </c>
      <c r="E25" s="25">
        <f>績效表[[#This Row],[IVV]]/C24-1</f>
        <v>5.8387268515433632E-2</v>
      </c>
    </row>
    <row r="26" spans="1:5" x14ac:dyDescent="0.3">
      <c r="A26" s="27">
        <v>39965</v>
      </c>
      <c r="B26" s="26">
        <v>72.814582999999999</v>
      </c>
      <c r="C26" s="26">
        <v>77.678428999999994</v>
      </c>
      <c r="D26" s="25">
        <f>績效表[[#This Row],[TLT]]/B25-1</f>
        <v>7.2981984123345889E-3</v>
      </c>
      <c r="E26" s="25">
        <f>績效表[[#This Row],[IVV]]/C25-1</f>
        <v>-4.9560289400200075E-3</v>
      </c>
    </row>
    <row r="27" spans="1:5" x14ac:dyDescent="0.3">
      <c r="A27" s="27">
        <v>39995</v>
      </c>
      <c r="B27" s="26">
        <v>73.236594999999994</v>
      </c>
      <c r="C27" s="26">
        <v>83.862060999999997</v>
      </c>
      <c r="D27" s="25">
        <f>績效表[[#This Row],[TLT]]/B26-1</f>
        <v>5.7957071593748299E-3</v>
      </c>
      <c r="E27" s="25">
        <f>績效表[[#This Row],[IVV]]/C26-1</f>
        <v>7.9605523433024183E-2</v>
      </c>
    </row>
    <row r="28" spans="1:5" x14ac:dyDescent="0.3">
      <c r="A28" s="27">
        <v>40026</v>
      </c>
      <c r="B28" s="26">
        <v>74.859108000000006</v>
      </c>
      <c r="C28" s="26">
        <v>86.931740000000005</v>
      </c>
      <c r="D28" s="25">
        <f>績效表[[#This Row],[TLT]]/B27-1</f>
        <v>2.2154402454128475E-2</v>
      </c>
      <c r="E28" s="25">
        <f>績效表[[#This Row],[IVV]]/C27-1</f>
        <v>3.6603906026111188E-2</v>
      </c>
    </row>
    <row r="29" spans="1:5" x14ac:dyDescent="0.3">
      <c r="A29" s="27">
        <v>40057</v>
      </c>
      <c r="B29" s="26">
        <v>76.712790999999996</v>
      </c>
      <c r="C29" s="26">
        <v>89.646216999999993</v>
      </c>
      <c r="D29" s="25">
        <f>績效表[[#This Row],[TLT]]/B28-1</f>
        <v>2.4762290782305296E-2</v>
      </c>
      <c r="E29" s="25">
        <f>績效表[[#This Row],[IVV]]/C28-1</f>
        <v>3.1225384422306268E-2</v>
      </c>
    </row>
    <row r="30" spans="1:5" x14ac:dyDescent="0.3">
      <c r="A30" s="27">
        <v>40087</v>
      </c>
      <c r="B30" s="26">
        <v>74.710907000000006</v>
      </c>
      <c r="C30" s="26">
        <v>88.350876</v>
      </c>
      <c r="D30" s="25">
        <f>績效表[[#This Row],[TLT]]/B29-1</f>
        <v>-2.6095830615783355E-2</v>
      </c>
      <c r="E30" s="25">
        <f>績效表[[#This Row],[IVV]]/C29-1</f>
        <v>-1.4449477550179224E-2</v>
      </c>
    </row>
    <row r="31" spans="1:5" x14ac:dyDescent="0.3">
      <c r="A31" s="27">
        <v>40118</v>
      </c>
      <c r="B31" s="26">
        <v>75.609191999999993</v>
      </c>
      <c r="C31" s="26">
        <v>93.729904000000005</v>
      </c>
      <c r="D31" s="25">
        <f>績效表[[#This Row],[TLT]]/B30-1</f>
        <v>1.2023478713757196E-2</v>
      </c>
      <c r="E31" s="25">
        <f>績效表[[#This Row],[IVV]]/C30-1</f>
        <v>6.088256555599969E-2</v>
      </c>
    </row>
    <row r="32" spans="1:5" x14ac:dyDescent="0.3">
      <c r="A32" s="27">
        <v>40148</v>
      </c>
      <c r="B32" s="26">
        <v>70.562331999999998</v>
      </c>
      <c r="C32" s="26">
        <v>95.013069000000002</v>
      </c>
      <c r="D32" s="25">
        <f>績效表[[#This Row],[TLT]]/B31-1</f>
        <v>-6.6749291541166045E-2</v>
      </c>
      <c r="E32" s="25">
        <f>績效表[[#This Row],[IVV]]/C31-1</f>
        <v>1.3690027891205325E-2</v>
      </c>
    </row>
    <row r="33" spans="1:5" x14ac:dyDescent="0.3">
      <c r="A33" s="27">
        <v>40179</v>
      </c>
      <c r="B33" s="26">
        <v>72.952254999999994</v>
      </c>
      <c r="C33" s="26">
        <v>91.973563999999996</v>
      </c>
      <c r="D33" s="25">
        <f>績效表[[#This Row],[TLT]]/B32-1</f>
        <v>3.3869671427525949E-2</v>
      </c>
      <c r="E33" s="25">
        <f>績效表[[#This Row],[IVV]]/C32-1</f>
        <v>-3.1990388606434772E-2</v>
      </c>
    </row>
    <row r="34" spans="1:5" x14ac:dyDescent="0.3">
      <c r="A34" s="27">
        <v>40210</v>
      </c>
      <c r="B34" s="26">
        <v>72.446442000000005</v>
      </c>
      <c r="C34" s="26">
        <v>94.869597999999996</v>
      </c>
      <c r="D34" s="25">
        <f>績效表[[#This Row],[TLT]]/B33-1</f>
        <v>-6.9334799863278729E-3</v>
      </c>
      <c r="E34" s="25">
        <f>績效表[[#This Row],[IVV]]/C33-1</f>
        <v>3.1487678350705206E-2</v>
      </c>
    </row>
    <row r="35" spans="1:5" x14ac:dyDescent="0.3">
      <c r="A35" s="27">
        <v>40238</v>
      </c>
      <c r="B35" s="26">
        <v>70.981414999999998</v>
      </c>
      <c r="C35" s="26">
        <v>100.243126</v>
      </c>
      <c r="D35" s="25">
        <f>績效表[[#This Row],[TLT]]/B34-1</f>
        <v>-2.022220773795913E-2</v>
      </c>
      <c r="E35" s="25">
        <f>績效表[[#This Row],[IVV]]/C34-1</f>
        <v>5.6641201325634549E-2</v>
      </c>
    </row>
    <row r="36" spans="1:5" x14ac:dyDescent="0.3">
      <c r="A36" s="27">
        <v>40269</v>
      </c>
      <c r="B36" s="26">
        <v>73.299164000000005</v>
      </c>
      <c r="C36" s="26">
        <v>102.298187</v>
      </c>
      <c r="D36" s="25">
        <f>績效表[[#This Row],[TLT]]/B35-1</f>
        <v>3.2652899354006948E-2</v>
      </c>
      <c r="E36" s="25">
        <f>績效表[[#This Row],[IVV]]/C35-1</f>
        <v>2.0500767304483247E-2</v>
      </c>
    </row>
    <row r="37" spans="1:5" x14ac:dyDescent="0.3">
      <c r="A37" s="27">
        <v>40299</v>
      </c>
      <c r="B37" s="26">
        <v>77.061790000000002</v>
      </c>
      <c r="C37" s="26">
        <v>94.113631999999996</v>
      </c>
      <c r="D37" s="25">
        <f>績效表[[#This Row],[TLT]]/B36-1</f>
        <v>5.1332454487475365E-2</v>
      </c>
      <c r="E37" s="25">
        <f>績效表[[#This Row],[IVV]]/C36-1</f>
        <v>-8.0006843132029326E-2</v>
      </c>
    </row>
    <row r="38" spans="1:5" x14ac:dyDescent="0.3">
      <c r="A38" s="27">
        <v>40330</v>
      </c>
      <c r="B38" s="26">
        <v>81.537445000000005</v>
      </c>
      <c r="C38" s="26">
        <v>88.760231000000005</v>
      </c>
      <c r="D38" s="25">
        <f>績效表[[#This Row],[TLT]]/B37-1</f>
        <v>5.8078783272488277E-2</v>
      </c>
      <c r="E38" s="25">
        <f>績效表[[#This Row],[IVV]]/C37-1</f>
        <v>-5.6882312224439402E-2</v>
      </c>
    </row>
    <row r="39" spans="1:5" x14ac:dyDescent="0.3">
      <c r="A39" s="27">
        <v>40360</v>
      </c>
      <c r="B39" s="26">
        <v>80.792702000000006</v>
      </c>
      <c r="C39" s="26">
        <v>95.391304000000005</v>
      </c>
      <c r="D39" s="25">
        <f>績效表[[#This Row],[TLT]]/B38-1</f>
        <v>-9.13375443638198E-3</v>
      </c>
      <c r="E39" s="25">
        <f>績效表[[#This Row],[IVV]]/C38-1</f>
        <v>7.4707703273102055E-2</v>
      </c>
    </row>
    <row r="40" spans="1:5" x14ac:dyDescent="0.3">
      <c r="A40" s="27">
        <v>40391</v>
      </c>
      <c r="B40" s="26">
        <v>87.556290000000004</v>
      </c>
      <c r="C40" s="26">
        <v>91.168555999999995</v>
      </c>
      <c r="D40" s="25">
        <f>績效表[[#This Row],[TLT]]/B39-1</f>
        <v>8.3715333595353769E-2</v>
      </c>
      <c r="E40" s="25">
        <f>績效表[[#This Row],[IVV]]/C39-1</f>
        <v>-4.4267641000064417E-2</v>
      </c>
    </row>
    <row r="41" spans="1:5" x14ac:dyDescent="0.3">
      <c r="A41" s="27">
        <v>40422</v>
      </c>
      <c r="B41" s="26">
        <v>85.371689000000003</v>
      </c>
      <c r="C41" s="26">
        <v>98.6661</v>
      </c>
      <c r="D41" s="25">
        <f>績效表[[#This Row],[TLT]]/B40-1</f>
        <v>-2.4950817354184363E-2</v>
      </c>
      <c r="E41" s="25">
        <f>績效表[[#This Row],[IVV]]/C40-1</f>
        <v>8.2238266447918873E-2</v>
      </c>
    </row>
    <row r="42" spans="1:5" x14ac:dyDescent="0.3">
      <c r="A42" s="27">
        <v>40452</v>
      </c>
      <c r="B42" s="26">
        <v>81.494941999999995</v>
      </c>
      <c r="C42" s="26">
        <v>103.026062</v>
      </c>
      <c r="D42" s="25">
        <f>績效表[[#This Row],[TLT]]/B41-1</f>
        <v>-4.5410217900222261E-2</v>
      </c>
      <c r="E42" s="25">
        <f>績效表[[#This Row],[IVV]]/C41-1</f>
        <v>4.4189057842561885E-2</v>
      </c>
    </row>
    <row r="43" spans="1:5" x14ac:dyDescent="0.3">
      <c r="A43" s="27">
        <v>40483</v>
      </c>
      <c r="B43" s="26">
        <v>80.161545000000004</v>
      </c>
      <c r="C43" s="26">
        <v>102.956749</v>
      </c>
      <c r="D43" s="25">
        <f>績效表[[#This Row],[TLT]]/B42-1</f>
        <v>-1.6361714816607753E-2</v>
      </c>
      <c r="E43" s="25">
        <f>績效表[[#This Row],[IVV]]/C42-1</f>
        <v>-6.7277151678368785E-4</v>
      </c>
    </row>
    <row r="44" spans="1:5" x14ac:dyDescent="0.3">
      <c r="A44" s="27">
        <v>40513</v>
      </c>
      <c r="B44" s="26">
        <v>76.9114</v>
      </c>
      <c r="C44" s="26">
        <v>109.403976</v>
      </c>
      <c r="D44" s="25">
        <f>績效表[[#This Row],[TLT]]/B43-1</f>
        <v>-4.0544939596660723E-2</v>
      </c>
      <c r="E44" s="25">
        <f>績效表[[#This Row],[IVV]]/C43-1</f>
        <v>6.2620732128983558E-2</v>
      </c>
    </row>
    <row r="45" spans="1:5" x14ac:dyDescent="0.3">
      <c r="A45" s="27">
        <v>40544</v>
      </c>
      <c r="B45" s="26">
        <v>75.056244000000007</v>
      </c>
      <c r="C45" s="26">
        <v>112.463036</v>
      </c>
      <c r="D45" s="25">
        <f>績效表[[#This Row],[TLT]]/B44-1</f>
        <v>-2.4120689520669147E-2</v>
      </c>
      <c r="E45" s="25">
        <f>績效表[[#This Row],[IVV]]/C44-1</f>
        <v>2.7961141010085511E-2</v>
      </c>
    </row>
    <row r="46" spans="1:5" x14ac:dyDescent="0.3">
      <c r="A46" s="27">
        <v>40575</v>
      </c>
      <c r="B46" s="26">
        <v>76.027091999999996</v>
      </c>
      <c r="C46" s="26">
        <v>116.355507</v>
      </c>
      <c r="D46" s="25">
        <f>績效表[[#This Row],[TLT]]/B45-1</f>
        <v>1.2934939829922554E-2</v>
      </c>
      <c r="E46" s="25">
        <f>績效表[[#This Row],[IVV]]/C45-1</f>
        <v>3.4611114357609996E-2</v>
      </c>
    </row>
    <row r="47" spans="1:5" x14ac:dyDescent="0.3">
      <c r="A47" s="27">
        <v>40603</v>
      </c>
      <c r="B47" s="26">
        <v>76.071831000000003</v>
      </c>
      <c r="C47" s="26">
        <v>115.82429500000001</v>
      </c>
      <c r="D47" s="25">
        <f>績效表[[#This Row],[TLT]]/B46-1</f>
        <v>5.8846128167067135E-4</v>
      </c>
      <c r="E47" s="25">
        <f>績效表[[#This Row],[IVV]]/C46-1</f>
        <v>-4.5654220732328499E-3</v>
      </c>
    </row>
    <row r="48" spans="1:5" x14ac:dyDescent="0.3">
      <c r="A48" s="27">
        <v>40634</v>
      </c>
      <c r="B48" s="26">
        <v>77.775047000000001</v>
      </c>
      <c r="C48" s="26">
        <v>119.790367</v>
      </c>
      <c r="D48" s="25">
        <f>績效表[[#This Row],[TLT]]/B47-1</f>
        <v>2.2389575452705923E-2</v>
      </c>
      <c r="E48" s="25">
        <f>績效表[[#This Row],[IVV]]/C47-1</f>
        <v>3.4242142376087914E-2</v>
      </c>
    </row>
    <row r="49" spans="1:5" x14ac:dyDescent="0.3">
      <c r="A49" s="27">
        <v>40664</v>
      </c>
      <c r="B49" s="26">
        <v>80.431458000000006</v>
      </c>
      <c r="C49" s="26">
        <v>118.364502</v>
      </c>
      <c r="D49" s="25">
        <f>績效表[[#This Row],[TLT]]/B48-1</f>
        <v>3.4155054898263204E-2</v>
      </c>
      <c r="E49" s="25">
        <f>績效表[[#This Row],[IVV]]/C48-1</f>
        <v>-1.1903002183806688E-2</v>
      </c>
    </row>
    <row r="50" spans="1:5" x14ac:dyDescent="0.3">
      <c r="A50" s="27">
        <v>40695</v>
      </c>
      <c r="B50" s="26">
        <v>78.611855000000006</v>
      </c>
      <c r="C50" s="26">
        <v>115.836411</v>
      </c>
      <c r="D50" s="25">
        <f>績效表[[#This Row],[TLT]]/B49-1</f>
        <v>-2.2623026428291282E-2</v>
      </c>
      <c r="E50" s="25">
        <f>績效表[[#This Row],[IVV]]/C49-1</f>
        <v>-2.1358523520844108E-2</v>
      </c>
    </row>
    <row r="51" spans="1:5" x14ac:dyDescent="0.3">
      <c r="A51" s="27">
        <v>40725</v>
      </c>
      <c r="B51" s="26">
        <v>82.102005000000005</v>
      </c>
      <c r="C51" s="26">
        <v>114.08538799999999</v>
      </c>
      <c r="D51" s="25">
        <f>績效表[[#This Row],[TLT]]/B50-1</f>
        <v>4.439724771791731E-2</v>
      </c>
      <c r="E51" s="25">
        <f>績效表[[#This Row],[IVV]]/C50-1</f>
        <v>-1.5116343685751876E-2</v>
      </c>
    </row>
    <row r="52" spans="1:5" x14ac:dyDescent="0.3">
      <c r="A52" s="27">
        <v>40756</v>
      </c>
      <c r="B52" s="26">
        <v>90.046593000000001</v>
      </c>
      <c r="C52" s="26">
        <v>107.783958</v>
      </c>
      <c r="D52" s="25">
        <f>績效表[[#This Row],[TLT]]/B51-1</f>
        <v>9.6764847581980451E-2</v>
      </c>
      <c r="E52" s="25">
        <f>績效表[[#This Row],[IVV]]/C51-1</f>
        <v>-5.5234330271988874E-2</v>
      </c>
    </row>
    <row r="53" spans="1:5" x14ac:dyDescent="0.3">
      <c r="A53" s="27">
        <v>40787</v>
      </c>
      <c r="B53" s="26">
        <v>101.97004699999999</v>
      </c>
      <c r="C53" s="26">
        <v>99.918098000000001</v>
      </c>
      <c r="D53" s="25">
        <f>績效表[[#This Row],[TLT]]/B52-1</f>
        <v>0.13241427135394224</v>
      </c>
      <c r="E53" s="25">
        <f>績效表[[#This Row],[IVV]]/C52-1</f>
        <v>-7.2978021460299303E-2</v>
      </c>
    </row>
    <row r="54" spans="1:5" x14ac:dyDescent="0.3">
      <c r="A54" s="27">
        <v>40817</v>
      </c>
      <c r="B54" s="26">
        <v>98.112128999999996</v>
      </c>
      <c r="C54" s="26">
        <v>111.17334</v>
      </c>
      <c r="D54" s="25">
        <f>績效表[[#This Row],[TLT]]/B53-1</f>
        <v>-3.7833835655680326E-2</v>
      </c>
      <c r="E54" s="25">
        <f>績效表[[#This Row],[IVV]]/C53-1</f>
        <v>0.11264467824437574</v>
      </c>
    </row>
    <row r="55" spans="1:5" x14ac:dyDescent="0.3">
      <c r="A55" s="27">
        <v>40848</v>
      </c>
      <c r="B55" s="26">
        <v>100.058922</v>
      </c>
      <c r="C55" s="26">
        <v>110.819839</v>
      </c>
      <c r="D55" s="25">
        <f>績效表[[#This Row],[TLT]]/B54-1</f>
        <v>1.9842531395888985E-2</v>
      </c>
      <c r="E55" s="25">
        <f>績效表[[#This Row],[IVV]]/C54-1</f>
        <v>-3.1797281614458495E-3</v>
      </c>
    </row>
    <row r="56" spans="1:5" x14ac:dyDescent="0.3">
      <c r="A56" s="27">
        <v>40878</v>
      </c>
      <c r="B56" s="26">
        <v>103.185722</v>
      </c>
      <c r="C56" s="26">
        <v>111.314735</v>
      </c>
      <c r="D56" s="25">
        <f>績效表[[#This Row],[TLT]]/B55-1</f>
        <v>3.1249587118278299E-2</v>
      </c>
      <c r="E56" s="25">
        <f>績效表[[#This Row],[IVV]]/C55-1</f>
        <v>4.4657707903725807E-3</v>
      </c>
    </row>
    <row r="57" spans="1:5" x14ac:dyDescent="0.3">
      <c r="A57" s="27">
        <v>40909</v>
      </c>
      <c r="B57" s="26">
        <v>103.431252</v>
      </c>
      <c r="C57" s="26">
        <v>117.169121</v>
      </c>
      <c r="D57" s="25">
        <f>績效表[[#This Row],[TLT]]/B56-1</f>
        <v>2.3794958763772023E-3</v>
      </c>
      <c r="E57" s="25">
        <f>績效表[[#This Row],[IVV]]/C56-1</f>
        <v>5.2593091112331125E-2</v>
      </c>
    </row>
    <row r="58" spans="1:5" x14ac:dyDescent="0.3">
      <c r="A58" s="27">
        <v>40940</v>
      </c>
      <c r="B58" s="26">
        <v>100.504204</v>
      </c>
      <c r="C58" s="26">
        <v>122.104141</v>
      </c>
      <c r="D58" s="25">
        <f>績效表[[#This Row],[TLT]]/B57-1</f>
        <v>-2.8299454404748015E-2</v>
      </c>
      <c r="E58" s="25">
        <f>績效表[[#This Row],[IVV]]/C57-1</f>
        <v>4.2118776328449181E-2</v>
      </c>
    </row>
    <row r="59" spans="1:5" x14ac:dyDescent="0.3">
      <c r="A59" s="27">
        <v>40969</v>
      </c>
      <c r="B59" s="26">
        <v>96.258217000000002</v>
      </c>
      <c r="C59" s="26">
        <v>125.563118</v>
      </c>
      <c r="D59" s="25">
        <f>績效表[[#This Row],[TLT]]/B58-1</f>
        <v>-4.2246859643801593E-2</v>
      </c>
      <c r="E59" s="25">
        <f>績效表[[#This Row],[IVV]]/C58-1</f>
        <v>2.8328089216892449E-2</v>
      </c>
    </row>
    <row r="60" spans="1:5" x14ac:dyDescent="0.3">
      <c r="A60" s="27">
        <v>41000</v>
      </c>
      <c r="B60" s="26">
        <v>100.880104</v>
      </c>
      <c r="C60" s="26">
        <v>125.298546</v>
      </c>
      <c r="D60" s="25">
        <f>績效表[[#This Row],[TLT]]/B59-1</f>
        <v>4.8015506042460743E-2</v>
      </c>
      <c r="E60" s="25">
        <f>績效表[[#This Row],[IVV]]/C59-1</f>
        <v>-2.1070837059016245E-3</v>
      </c>
    </row>
    <row r="61" spans="1:5" x14ac:dyDescent="0.3">
      <c r="A61" s="27">
        <v>41030</v>
      </c>
      <c r="B61" s="26">
        <v>110.003906</v>
      </c>
      <c r="C61" s="26">
        <v>117.76887499999999</v>
      </c>
      <c r="D61" s="25">
        <f>績效表[[#This Row],[TLT]]/B60-1</f>
        <v>9.0442036023277605E-2</v>
      </c>
      <c r="E61" s="25">
        <f>績效表[[#This Row],[IVV]]/C60-1</f>
        <v>-6.0093841791268754E-2</v>
      </c>
    </row>
    <row r="62" spans="1:5" x14ac:dyDescent="0.3">
      <c r="A62" s="27">
        <v>41061</v>
      </c>
      <c r="B62" s="26">
        <v>108.19586200000001</v>
      </c>
      <c r="C62" s="26">
        <v>122.145538</v>
      </c>
      <c r="D62" s="25">
        <f>績效表[[#This Row],[TLT]]/B61-1</f>
        <v>-1.6436180002553646E-2</v>
      </c>
      <c r="E62" s="25">
        <f>績效表[[#This Row],[IVV]]/C61-1</f>
        <v>3.7163155375306234E-2</v>
      </c>
    </row>
    <row r="63" spans="1:5" x14ac:dyDescent="0.3">
      <c r="A63" s="27">
        <v>41091</v>
      </c>
      <c r="B63" s="26">
        <v>112.316193</v>
      </c>
      <c r="C63" s="26">
        <v>124.249916</v>
      </c>
      <c r="D63" s="25">
        <f>績效表[[#This Row],[TLT]]/B62-1</f>
        <v>3.8082149574260038E-2</v>
      </c>
      <c r="E63" s="25">
        <f>績效表[[#This Row],[IVV]]/C62-1</f>
        <v>1.7228447591757234E-2</v>
      </c>
    </row>
    <row r="64" spans="1:5" x14ac:dyDescent="0.3">
      <c r="A64" s="27">
        <v>41122</v>
      </c>
      <c r="B64" s="26">
        <v>110.839752</v>
      </c>
      <c r="C64" s="26">
        <v>127.328087</v>
      </c>
      <c r="D64" s="25">
        <f>績效表[[#This Row],[TLT]]/B63-1</f>
        <v>-1.3145397476212461E-2</v>
      </c>
      <c r="E64" s="25">
        <f>績效表[[#This Row],[IVV]]/C63-1</f>
        <v>2.4774028821073824E-2</v>
      </c>
    </row>
    <row r="65" spans="1:5" x14ac:dyDescent="0.3">
      <c r="A65" s="27">
        <v>41153</v>
      </c>
      <c r="B65" s="26">
        <v>108.02971599999999</v>
      </c>
      <c r="C65" s="26">
        <v>129.58961500000001</v>
      </c>
      <c r="D65" s="25">
        <f>績效表[[#This Row],[TLT]]/B64-1</f>
        <v>-2.53522400519266E-2</v>
      </c>
      <c r="E65" s="25">
        <f>績效表[[#This Row],[IVV]]/C64-1</f>
        <v>1.7761422897997425E-2</v>
      </c>
    </row>
    <row r="66" spans="1:5" x14ac:dyDescent="0.3">
      <c r="A66" s="27">
        <v>41183</v>
      </c>
      <c r="B66" s="26">
        <v>107.510757</v>
      </c>
      <c r="C66" s="26">
        <v>127.662018</v>
      </c>
      <c r="D66" s="25">
        <f>績效表[[#This Row],[TLT]]/B65-1</f>
        <v>-4.8038541543513613E-3</v>
      </c>
      <c r="E66" s="25">
        <f>績效表[[#This Row],[IVV]]/C65-1</f>
        <v>-1.4874625563167321E-2</v>
      </c>
    </row>
    <row r="67" spans="1:5" x14ac:dyDescent="0.3">
      <c r="A67" s="27">
        <v>41214</v>
      </c>
      <c r="B67" s="26">
        <v>108.985153</v>
      </c>
      <c r="C67" s="26">
        <v>128.77191199999999</v>
      </c>
      <c r="D67" s="25">
        <f>績效表[[#This Row],[TLT]]/B66-1</f>
        <v>1.3713939340972203E-2</v>
      </c>
      <c r="E67" s="25">
        <f>績效表[[#This Row],[IVV]]/C66-1</f>
        <v>8.6940032547502266E-3</v>
      </c>
    </row>
    <row r="68" spans="1:5" x14ac:dyDescent="0.3">
      <c r="A68" s="27">
        <v>41244</v>
      </c>
      <c r="B68" s="26">
        <v>105.832336</v>
      </c>
      <c r="C68" s="26">
        <v>129.159897</v>
      </c>
      <c r="D68" s="25">
        <f>績效表[[#This Row],[TLT]]/B67-1</f>
        <v>-2.8928867035677763E-2</v>
      </c>
      <c r="E68" s="25">
        <f>績效表[[#This Row],[IVV]]/C67-1</f>
        <v>3.0129629511133071E-3</v>
      </c>
    </row>
    <row r="69" spans="1:5" x14ac:dyDescent="0.3">
      <c r="A69" s="27">
        <v>41275</v>
      </c>
      <c r="B69" s="26">
        <v>102.888733</v>
      </c>
      <c r="C69" s="26">
        <v>136.63502500000001</v>
      </c>
      <c r="D69" s="25">
        <f>績效表[[#This Row],[TLT]]/B68-1</f>
        <v>-2.7813833760600315E-2</v>
      </c>
      <c r="E69" s="25">
        <f>績效表[[#This Row],[IVV]]/C68-1</f>
        <v>5.7874991956675226E-2</v>
      </c>
    </row>
    <row r="70" spans="1:5" x14ac:dyDescent="0.3">
      <c r="A70" s="27">
        <v>41306</v>
      </c>
      <c r="B70" s="26">
        <v>103.93235799999999</v>
      </c>
      <c r="C70" s="26">
        <v>138.48762500000001</v>
      </c>
      <c r="D70" s="25">
        <f>績效表[[#This Row],[TLT]]/B69-1</f>
        <v>1.0143238910328423E-2</v>
      </c>
      <c r="E70" s="25">
        <f>績效表[[#This Row],[IVV]]/C69-1</f>
        <v>1.3558748937177567E-2</v>
      </c>
    </row>
    <row r="71" spans="1:5" x14ac:dyDescent="0.3">
      <c r="A71" s="27">
        <v>41334</v>
      </c>
      <c r="B71" s="26">
        <v>103.503998</v>
      </c>
      <c r="C71" s="26">
        <v>142.90103099999999</v>
      </c>
      <c r="D71" s="25">
        <f>績效表[[#This Row],[TLT]]/B70-1</f>
        <v>-4.1215268107358538E-3</v>
      </c>
      <c r="E71" s="25">
        <f>績效表[[#This Row],[IVV]]/C70-1</f>
        <v>3.1868594757112678E-2</v>
      </c>
    </row>
    <row r="72" spans="1:5" x14ac:dyDescent="0.3">
      <c r="A72" s="27">
        <v>41365</v>
      </c>
      <c r="B72" s="26">
        <v>108.350662</v>
      </c>
      <c r="C72" s="26">
        <v>146.399597</v>
      </c>
      <c r="D72" s="25">
        <f>績效表[[#This Row],[TLT]]/B71-1</f>
        <v>4.6825862707255084E-2</v>
      </c>
      <c r="E72" s="25">
        <f>績效表[[#This Row],[IVV]]/C71-1</f>
        <v>2.4482440578053044E-2</v>
      </c>
    </row>
    <row r="73" spans="1:5" x14ac:dyDescent="0.3">
      <c r="A73" s="27">
        <v>41395</v>
      </c>
      <c r="B73" s="26">
        <v>101.029556</v>
      </c>
      <c r="C73" s="26">
        <v>149.91244499999999</v>
      </c>
      <c r="D73" s="25">
        <f>績效表[[#This Row],[TLT]]/B72-1</f>
        <v>-6.7568631929539991E-2</v>
      </c>
      <c r="E73" s="25">
        <f>績效表[[#This Row],[IVV]]/C72-1</f>
        <v>2.3994929439594026E-2</v>
      </c>
    </row>
    <row r="74" spans="1:5" x14ac:dyDescent="0.3">
      <c r="A74" s="27">
        <v>41426</v>
      </c>
      <c r="B74" s="26">
        <v>97.697029000000001</v>
      </c>
      <c r="C74" s="26">
        <v>146.791946</v>
      </c>
      <c r="D74" s="25">
        <f>績效表[[#This Row],[TLT]]/B73-1</f>
        <v>-3.2985664115954383E-2</v>
      </c>
      <c r="E74" s="25">
        <f>績效表[[#This Row],[IVV]]/C73-1</f>
        <v>-2.0815476660393295E-2</v>
      </c>
    </row>
    <row r="75" spans="1:5" x14ac:dyDescent="0.3">
      <c r="A75" s="27">
        <v>41456</v>
      </c>
      <c r="B75" s="26">
        <v>95.502692999999994</v>
      </c>
      <c r="C75" s="26">
        <v>155.48692299999999</v>
      </c>
      <c r="D75" s="25">
        <f>績效表[[#This Row],[TLT]]/B74-1</f>
        <v>-2.2460621601911868E-2</v>
      </c>
      <c r="E75" s="25">
        <f>績效表[[#This Row],[IVV]]/C74-1</f>
        <v>5.9233338319528706E-2</v>
      </c>
    </row>
    <row r="76" spans="1:5" x14ac:dyDescent="0.3">
      <c r="A76" s="27">
        <v>41487</v>
      </c>
      <c r="B76" s="26">
        <v>94.201285999999996</v>
      </c>
      <c r="C76" s="26">
        <v>150.764038</v>
      </c>
      <c r="D76" s="25">
        <f>績效表[[#This Row],[TLT]]/B75-1</f>
        <v>-1.3626914164608928E-2</v>
      </c>
      <c r="E76" s="25">
        <f>績效表[[#This Row],[IVV]]/C75-1</f>
        <v>-3.0374805217542211E-2</v>
      </c>
    </row>
    <row r="77" spans="1:5" x14ac:dyDescent="0.3">
      <c r="A77" s="27">
        <v>41518</v>
      </c>
      <c r="B77" s="26">
        <v>94.803368000000006</v>
      </c>
      <c r="C77" s="26">
        <v>154.890839</v>
      </c>
      <c r="D77" s="25">
        <f>績效表[[#This Row],[TLT]]/B76-1</f>
        <v>6.3914414077108628E-3</v>
      </c>
      <c r="E77" s="25">
        <f>績效表[[#This Row],[IVV]]/C76-1</f>
        <v>2.7372582047716199E-2</v>
      </c>
    </row>
    <row r="78" spans="1:5" x14ac:dyDescent="0.3">
      <c r="A78" s="27">
        <v>41548</v>
      </c>
      <c r="B78" s="26">
        <v>96.161354000000003</v>
      </c>
      <c r="C78" s="26">
        <v>162.82666</v>
      </c>
      <c r="D78" s="25">
        <f>績效表[[#This Row],[TLT]]/B77-1</f>
        <v>1.4324237932137551E-2</v>
      </c>
      <c r="E78" s="25">
        <f>績效表[[#This Row],[IVV]]/C77-1</f>
        <v>5.1234928103139898E-2</v>
      </c>
    </row>
    <row r="79" spans="1:5" x14ac:dyDescent="0.3">
      <c r="A79" s="27">
        <v>41579</v>
      </c>
      <c r="B79" s="26">
        <v>93.555961999999994</v>
      </c>
      <c r="C79" s="26">
        <v>167.68315100000001</v>
      </c>
      <c r="D79" s="25">
        <f>績效表[[#This Row],[TLT]]/B78-1</f>
        <v>-2.7093961260154509E-2</v>
      </c>
      <c r="E79" s="25">
        <f>績效表[[#This Row],[IVV]]/C78-1</f>
        <v>2.9826141493045411E-2</v>
      </c>
    </row>
    <row r="80" spans="1:5" x14ac:dyDescent="0.3">
      <c r="A80" s="27">
        <v>41609</v>
      </c>
      <c r="B80" s="26">
        <v>91.480857999999998</v>
      </c>
      <c r="C80" s="26">
        <v>171.08363299999999</v>
      </c>
      <c r="D80" s="25">
        <f>績效表[[#This Row],[TLT]]/B79-1</f>
        <v>-2.2180350195105669E-2</v>
      </c>
      <c r="E80" s="25">
        <f>績效表[[#This Row],[IVV]]/C79-1</f>
        <v>2.0279210998366715E-2</v>
      </c>
    </row>
    <row r="81" spans="1:5" x14ac:dyDescent="0.3">
      <c r="A81" s="27">
        <v>41640</v>
      </c>
      <c r="B81" s="26">
        <v>97.854965000000007</v>
      </c>
      <c r="C81" s="26">
        <v>165.97903400000001</v>
      </c>
      <c r="D81" s="25">
        <f>績效表[[#This Row],[TLT]]/B80-1</f>
        <v>6.967694815455272E-2</v>
      </c>
      <c r="E81" s="25">
        <f>績效表[[#This Row],[IVV]]/C80-1</f>
        <v>-2.9836863471329078E-2</v>
      </c>
    </row>
    <row r="82" spans="1:5" x14ac:dyDescent="0.3">
      <c r="A82" s="27">
        <v>41671</v>
      </c>
      <c r="B82" s="26">
        <v>98.117012000000003</v>
      </c>
      <c r="C82" s="26">
        <v>173.54754600000001</v>
      </c>
      <c r="D82" s="25">
        <f>績效表[[#This Row],[TLT]]/B81-1</f>
        <v>2.6779121529498795E-3</v>
      </c>
      <c r="E82" s="25">
        <f>績效表[[#This Row],[IVV]]/C81-1</f>
        <v>4.5599205017665012E-2</v>
      </c>
    </row>
    <row r="83" spans="1:5" x14ac:dyDescent="0.3">
      <c r="A83" s="27">
        <v>41699</v>
      </c>
      <c r="B83" s="26">
        <v>98.848029999999994</v>
      </c>
      <c r="C83" s="26">
        <v>174.28866600000001</v>
      </c>
      <c r="D83" s="25">
        <f>績效表[[#This Row],[TLT]]/B82-1</f>
        <v>7.4504714839869202E-3</v>
      </c>
      <c r="E83" s="25">
        <f>績效表[[#This Row],[IVV]]/C82-1</f>
        <v>4.2704147484746713E-3</v>
      </c>
    </row>
    <row r="84" spans="1:5" x14ac:dyDescent="0.3">
      <c r="A84" s="27">
        <v>41730</v>
      </c>
      <c r="B84" s="26">
        <v>100.904472</v>
      </c>
      <c r="C84" s="26">
        <v>176.367188</v>
      </c>
      <c r="D84" s="25">
        <f>績效表[[#This Row],[TLT]]/B83-1</f>
        <v>2.0804076722621634E-2</v>
      </c>
      <c r="E84" s="25">
        <f>績效表[[#This Row],[IVV]]/C83-1</f>
        <v>1.1925743926458177E-2</v>
      </c>
    </row>
    <row r="85" spans="1:5" x14ac:dyDescent="0.3">
      <c r="A85" s="27">
        <v>41760</v>
      </c>
      <c r="B85" s="26">
        <v>103.895782</v>
      </c>
      <c r="C85" s="26">
        <v>180.39627100000001</v>
      </c>
      <c r="D85" s="25">
        <f>績效表[[#This Row],[TLT]]/B84-1</f>
        <v>2.9644969551002598E-2</v>
      </c>
      <c r="E85" s="25">
        <f>績效表[[#This Row],[IVV]]/C84-1</f>
        <v>2.284485592637564E-2</v>
      </c>
    </row>
    <row r="86" spans="1:5" x14ac:dyDescent="0.3">
      <c r="A86" s="27">
        <v>41791</v>
      </c>
      <c r="B86" s="26">
        <v>103.618568</v>
      </c>
      <c r="C86" s="26">
        <v>183.30873099999999</v>
      </c>
      <c r="D86" s="25">
        <f>績效表[[#This Row],[TLT]]/B85-1</f>
        <v>-2.668193016729048E-3</v>
      </c>
      <c r="E86" s="25">
        <f>績效表[[#This Row],[IVV]]/C85-1</f>
        <v>1.6144790487381933E-2</v>
      </c>
    </row>
    <row r="87" spans="1:5" x14ac:dyDescent="0.3">
      <c r="A87" s="27">
        <v>41821</v>
      </c>
      <c r="B87" s="26">
        <v>104.307236</v>
      </c>
      <c r="C87" s="26">
        <v>181.588821</v>
      </c>
      <c r="D87" s="25">
        <f>績效表[[#This Row],[TLT]]/B86-1</f>
        <v>6.6461833365618617E-3</v>
      </c>
      <c r="E87" s="25">
        <f>績效表[[#This Row],[IVV]]/C86-1</f>
        <v>-9.3825863646396224E-3</v>
      </c>
    </row>
    <row r="88" spans="1:5" x14ac:dyDescent="0.3">
      <c r="A88" s="27">
        <v>41852</v>
      </c>
      <c r="B88" s="26">
        <v>109.22790500000001</v>
      </c>
      <c r="C88" s="26">
        <v>188.79632599999999</v>
      </c>
      <c r="D88" s="25">
        <f>績效表[[#This Row],[TLT]]/B87-1</f>
        <v>4.7174761681922028E-2</v>
      </c>
      <c r="E88" s="25">
        <f>績效表[[#This Row],[IVV]]/C87-1</f>
        <v>3.9691347519680287E-2</v>
      </c>
    </row>
    <row r="89" spans="1:5" x14ac:dyDescent="0.3">
      <c r="A89" s="27">
        <v>41883</v>
      </c>
      <c r="B89" s="26">
        <v>106.958763</v>
      </c>
      <c r="C89" s="26">
        <v>185.337479</v>
      </c>
      <c r="D89" s="25">
        <f>績效表[[#This Row],[TLT]]/B88-1</f>
        <v>-2.0774379953547584E-2</v>
      </c>
      <c r="E89" s="25">
        <f>績效表[[#This Row],[IVV]]/C88-1</f>
        <v>-1.8320520707590382E-2</v>
      </c>
    </row>
    <row r="90" spans="1:5" x14ac:dyDescent="0.3">
      <c r="A90" s="27">
        <v>41913</v>
      </c>
      <c r="B90" s="26">
        <v>109.950417</v>
      </c>
      <c r="C90" s="26">
        <v>190.64810199999999</v>
      </c>
      <c r="D90" s="25">
        <f>績效表[[#This Row],[TLT]]/B89-1</f>
        <v>2.7970162669139986E-2</v>
      </c>
      <c r="E90" s="25">
        <f>績效表[[#This Row],[IVV]]/C89-1</f>
        <v>2.8653799699088323E-2</v>
      </c>
    </row>
    <row r="91" spans="1:5" x14ac:dyDescent="0.3">
      <c r="A91" s="27">
        <v>41944</v>
      </c>
      <c r="B91" s="26">
        <v>109.743759</v>
      </c>
      <c r="C91" s="26">
        <v>195.89820900000001</v>
      </c>
      <c r="D91" s="25">
        <f>績效表[[#This Row],[TLT]]/B90-1</f>
        <v>-1.8795563094590184E-3</v>
      </c>
      <c r="E91" s="25">
        <f>績效表[[#This Row],[IVV]]/C90-1</f>
        <v>2.7538207540088733E-2</v>
      </c>
    </row>
    <row r="92" spans="1:5" x14ac:dyDescent="0.3">
      <c r="A92" s="27">
        <v>41974</v>
      </c>
      <c r="B92" s="26">
        <v>114.84796900000001</v>
      </c>
      <c r="C92" s="26">
        <v>194.29217499999999</v>
      </c>
      <c r="D92" s="25">
        <f>績效表[[#This Row],[TLT]]/B91-1</f>
        <v>4.6510253034070193E-2</v>
      </c>
      <c r="E92" s="25">
        <f>績效表[[#This Row],[IVV]]/C91-1</f>
        <v>-8.1983087451300563E-3</v>
      </c>
    </row>
    <row r="93" spans="1:5" x14ac:dyDescent="0.3">
      <c r="A93" s="27">
        <v>42005</v>
      </c>
      <c r="B93" s="26">
        <v>128.68800400000001</v>
      </c>
      <c r="C93" s="26">
        <v>189.651794</v>
      </c>
      <c r="D93" s="25">
        <f>績效表[[#This Row],[TLT]]/B92-1</f>
        <v>0.1205074423214223</v>
      </c>
      <c r="E93" s="25">
        <f>績效表[[#This Row],[IVV]]/C92-1</f>
        <v>-2.3883519755749205E-2</v>
      </c>
    </row>
    <row r="94" spans="1:5" x14ac:dyDescent="0.3">
      <c r="A94" s="27">
        <v>42036</v>
      </c>
      <c r="B94" s="26">
        <v>120.54490699999999</v>
      </c>
      <c r="C94" s="26">
        <v>200.35845900000001</v>
      </c>
      <c r="D94" s="25">
        <f>績效表[[#This Row],[TLT]]/B93-1</f>
        <v>-6.3277825025555678E-2</v>
      </c>
      <c r="E94" s="25">
        <f>績效表[[#This Row],[IVV]]/C93-1</f>
        <v>5.6454330192099444E-2</v>
      </c>
    </row>
    <row r="95" spans="1:5" x14ac:dyDescent="0.3">
      <c r="A95" s="27">
        <v>42064</v>
      </c>
      <c r="B95" s="26">
        <v>121.609245</v>
      </c>
      <c r="C95" s="26">
        <v>196.22306800000001</v>
      </c>
      <c r="D95" s="25">
        <f>績效表[[#This Row],[TLT]]/B94-1</f>
        <v>8.8293900297256034E-3</v>
      </c>
      <c r="E95" s="25">
        <f>績效表[[#This Row],[IVV]]/C94-1</f>
        <v>-2.063996209912955E-2</v>
      </c>
    </row>
    <row r="96" spans="1:5" x14ac:dyDescent="0.3">
      <c r="A96" s="27">
        <v>42095</v>
      </c>
      <c r="B96" s="26">
        <v>120.594284</v>
      </c>
      <c r="C96" s="26">
        <v>199.07487499999999</v>
      </c>
      <c r="D96" s="25">
        <f>績效表[[#This Row],[TLT]]/B95-1</f>
        <v>-8.3460842142387692E-3</v>
      </c>
      <c r="E96" s="25">
        <f>績效表[[#This Row],[IVV]]/C95-1</f>
        <v>1.4533495113836281E-2</v>
      </c>
    </row>
    <row r="97" spans="1:5" x14ac:dyDescent="0.3">
      <c r="A97" s="27">
        <v>42125</v>
      </c>
      <c r="B97" s="26">
        <v>114.89192199999999</v>
      </c>
      <c r="C97" s="26">
        <v>201.66468800000001</v>
      </c>
      <c r="D97" s="25">
        <f>績效表[[#This Row],[TLT]]/B96-1</f>
        <v>-4.7285508158910861E-2</v>
      </c>
      <c r="E97" s="25">
        <f>績效表[[#This Row],[IVV]]/C96-1</f>
        <v>1.3009240869798377E-2</v>
      </c>
    </row>
    <row r="98" spans="1:5" x14ac:dyDescent="0.3">
      <c r="A98" s="27">
        <v>42156</v>
      </c>
      <c r="B98" s="26">
        <v>110.20212600000001</v>
      </c>
      <c r="C98" s="26">
        <v>196.42816199999999</v>
      </c>
      <c r="D98" s="25">
        <f>績效表[[#This Row],[TLT]]/B97-1</f>
        <v>-4.0819197018916453E-2</v>
      </c>
      <c r="E98" s="25">
        <f>績效表[[#This Row],[IVV]]/C97-1</f>
        <v>-2.5966499400232212E-2</v>
      </c>
    </row>
    <row r="99" spans="1:5" x14ac:dyDescent="0.3">
      <c r="A99" s="27">
        <v>42186</v>
      </c>
      <c r="B99" s="26">
        <v>113.486092</v>
      </c>
      <c r="C99" s="26">
        <v>201.961029</v>
      </c>
      <c r="D99" s="25">
        <f>績效表[[#This Row],[TLT]]/B98-1</f>
        <v>2.9799479549060592E-2</v>
      </c>
      <c r="E99" s="25">
        <f>績效表[[#This Row],[IVV]]/C98-1</f>
        <v>2.8167381620156862E-2</v>
      </c>
    </row>
    <row r="100" spans="1:5" x14ac:dyDescent="0.3">
      <c r="A100" s="27">
        <v>42217</v>
      </c>
      <c r="B100" s="26">
        <v>114.894791</v>
      </c>
      <c r="C100" s="26">
        <v>189.541168</v>
      </c>
      <c r="D100" s="25">
        <f>績效表[[#This Row],[TLT]]/B99-1</f>
        <v>1.2412965987056879E-2</v>
      </c>
      <c r="E100" s="25">
        <f>績效表[[#This Row],[IVV]]/C99-1</f>
        <v>-6.1496324620132548E-2</v>
      </c>
    </row>
    <row r="101" spans="1:5" x14ac:dyDescent="0.3">
      <c r="A101" s="27">
        <v>42248</v>
      </c>
      <c r="B101" s="26">
        <v>114.805756</v>
      </c>
      <c r="C101" s="26">
        <v>183.83682300000001</v>
      </c>
      <c r="D101" s="25">
        <f>績效表[[#This Row],[TLT]]/B100-1</f>
        <v>-7.7492634109055381E-4</v>
      </c>
      <c r="E101" s="25">
        <f>績效表[[#This Row],[IVV]]/C100-1</f>
        <v>-3.0095546314244492E-2</v>
      </c>
    </row>
    <row r="102" spans="1:5" x14ac:dyDescent="0.3">
      <c r="A102" s="27">
        <v>42278</v>
      </c>
      <c r="B102" s="26">
        <v>116.162254</v>
      </c>
      <c r="C102" s="26">
        <v>200.52647400000001</v>
      </c>
      <c r="D102" s="25">
        <f>績效表[[#This Row],[TLT]]/B101-1</f>
        <v>1.1815592242605089E-2</v>
      </c>
      <c r="E102" s="25">
        <f>績效表[[#This Row],[IVV]]/C101-1</f>
        <v>9.0785136120417054E-2</v>
      </c>
    </row>
    <row r="103" spans="1:5" x14ac:dyDescent="0.3">
      <c r="A103" s="27">
        <v>42309</v>
      </c>
      <c r="B103" s="26">
        <v>115.180069</v>
      </c>
      <c r="C103" s="26">
        <v>201.31304900000001</v>
      </c>
      <c r="D103" s="25">
        <f>績效表[[#This Row],[TLT]]/B102-1</f>
        <v>-8.4552853115263948E-3</v>
      </c>
      <c r="E103" s="25">
        <f>績效表[[#This Row],[IVV]]/C102-1</f>
        <v>3.9225493986394522E-3</v>
      </c>
    </row>
    <row r="104" spans="1:5" x14ac:dyDescent="0.3">
      <c r="A104" s="27">
        <v>42339</v>
      </c>
      <c r="B104" s="26">
        <v>114.604202</v>
      </c>
      <c r="C104" s="26">
        <v>196.51689099999999</v>
      </c>
      <c r="D104" s="25">
        <f>績效表[[#This Row],[TLT]]/B103-1</f>
        <v>-4.9997104967874906E-3</v>
      </c>
      <c r="E104" s="25">
        <f>績效表[[#This Row],[IVV]]/C103-1</f>
        <v>-2.3824377127187768E-2</v>
      </c>
    </row>
    <row r="105" spans="1:5" x14ac:dyDescent="0.3">
      <c r="A105" s="27">
        <v>42370</v>
      </c>
      <c r="B105" s="26">
        <v>121.50198399999999</v>
      </c>
      <c r="C105" s="26">
        <v>187.92726099999999</v>
      </c>
      <c r="D105" s="25">
        <f>績效表[[#This Row],[TLT]]/B104-1</f>
        <v>6.018786291972078E-2</v>
      </c>
      <c r="E105" s="25">
        <f>績效表[[#This Row],[IVV]]/C104-1</f>
        <v>-4.3709372544469938E-2</v>
      </c>
    </row>
    <row r="106" spans="1:5" x14ac:dyDescent="0.3">
      <c r="A106" s="27">
        <v>42401</v>
      </c>
      <c r="B106" s="26">
        <v>125.01432800000001</v>
      </c>
      <c r="C106" s="26">
        <v>187.821045</v>
      </c>
      <c r="D106" s="25">
        <f>績效表[[#This Row],[TLT]]/B105-1</f>
        <v>2.8907709029673212E-2</v>
      </c>
      <c r="E106" s="25">
        <f>績效表[[#This Row],[IVV]]/C105-1</f>
        <v>-5.6519740369109783E-4</v>
      </c>
    </row>
    <row r="107" spans="1:5" x14ac:dyDescent="0.3">
      <c r="A107" s="27">
        <v>42430</v>
      </c>
      <c r="B107" s="26">
        <v>124.89765199999999</v>
      </c>
      <c r="C107" s="26">
        <v>199.54354900000001</v>
      </c>
      <c r="D107" s="25">
        <f>績效表[[#This Row],[TLT]]/B106-1</f>
        <v>-9.3330102130384507E-4</v>
      </c>
      <c r="E107" s="25">
        <f>績效表[[#This Row],[IVV]]/C106-1</f>
        <v>6.2413155032760015E-2</v>
      </c>
    </row>
    <row r="108" spans="1:5" x14ac:dyDescent="0.3">
      <c r="A108" s="27">
        <v>42461</v>
      </c>
      <c r="B108" s="26">
        <v>123.95616099999999</v>
      </c>
      <c r="C108" s="26">
        <v>201.415085</v>
      </c>
      <c r="D108" s="25">
        <f>績效表[[#This Row],[TLT]]/B107-1</f>
        <v>-7.5381000757324124E-3</v>
      </c>
      <c r="E108" s="25">
        <f>績效表[[#This Row],[IVV]]/C107-1</f>
        <v>9.3790854646971233E-3</v>
      </c>
    </row>
    <row r="109" spans="1:5" x14ac:dyDescent="0.3">
      <c r="A109" s="27">
        <v>42491</v>
      </c>
      <c r="B109" s="26">
        <v>124.961769</v>
      </c>
      <c r="C109" s="26">
        <v>204.8228</v>
      </c>
      <c r="D109" s="25">
        <f>績效表[[#This Row],[TLT]]/B108-1</f>
        <v>8.1126100702650916E-3</v>
      </c>
      <c r="E109" s="25">
        <f>績效表[[#This Row],[IVV]]/C108-1</f>
        <v>1.6918866826682866E-2</v>
      </c>
    </row>
    <row r="110" spans="1:5" x14ac:dyDescent="0.3">
      <c r="A110" s="27">
        <v>42522</v>
      </c>
      <c r="B110" s="26">
        <v>133.621216</v>
      </c>
      <c r="C110" s="26">
        <v>204.36648600000001</v>
      </c>
      <c r="D110" s="25">
        <f>績效表[[#This Row],[TLT]]/B109-1</f>
        <v>6.9296770278596265E-2</v>
      </c>
      <c r="E110" s="25">
        <f>績效表[[#This Row],[IVV]]/C109-1</f>
        <v>-2.2278476810198011E-3</v>
      </c>
    </row>
    <row r="111" spans="1:5" x14ac:dyDescent="0.3">
      <c r="A111" s="27">
        <v>42552</v>
      </c>
      <c r="B111" s="26">
        <v>136.460083</v>
      </c>
      <c r="C111" s="26">
        <v>213.01934800000001</v>
      </c>
      <c r="D111" s="25">
        <f>績效表[[#This Row],[TLT]]/B110-1</f>
        <v>2.1245630633985435E-2</v>
      </c>
      <c r="E111" s="25">
        <f>績效表[[#This Row],[IVV]]/C110-1</f>
        <v>4.23399265180886E-2</v>
      </c>
    </row>
    <row r="112" spans="1:5" x14ac:dyDescent="0.3">
      <c r="A112" s="27">
        <v>42583</v>
      </c>
      <c r="B112" s="26">
        <v>135.07891799999999</v>
      </c>
      <c r="C112" s="26">
        <v>213.29246499999999</v>
      </c>
      <c r="D112" s="25">
        <f>績效表[[#This Row],[TLT]]/B111-1</f>
        <v>-1.0121384727576399E-2</v>
      </c>
      <c r="E112" s="25">
        <f>績效表[[#This Row],[IVV]]/C111-1</f>
        <v>1.2821229741064588E-3</v>
      </c>
    </row>
    <row r="113" spans="1:5" x14ac:dyDescent="0.3">
      <c r="A113" s="27">
        <v>42614</v>
      </c>
      <c r="B113" s="26">
        <v>133.042282</v>
      </c>
      <c r="C113" s="26">
        <v>212.22920199999999</v>
      </c>
      <c r="D113" s="25">
        <f>績效表[[#This Row],[TLT]]/B112-1</f>
        <v>-1.5077378692061938E-2</v>
      </c>
      <c r="E113" s="25">
        <f>績效表[[#This Row],[IVV]]/C112-1</f>
        <v>-4.9850002905634794E-3</v>
      </c>
    </row>
    <row r="114" spans="1:5" x14ac:dyDescent="0.3">
      <c r="A114" s="27">
        <v>42644</v>
      </c>
      <c r="B114" s="26">
        <v>127.21666</v>
      </c>
      <c r="C114" s="26">
        <v>209.51236</v>
      </c>
      <c r="D114" s="25">
        <f>績效表[[#This Row],[TLT]]/B113-1</f>
        <v>-4.3787748619645517E-2</v>
      </c>
      <c r="E114" s="25">
        <f>績效表[[#This Row],[IVV]]/C113-1</f>
        <v>-1.2801452271398506E-2</v>
      </c>
    </row>
    <row r="115" spans="1:5" x14ac:dyDescent="0.3">
      <c r="A115" s="27">
        <v>42675</v>
      </c>
      <c r="B115" s="26">
        <v>116.75473</v>
      </c>
      <c r="C115" s="26">
        <v>217.19909699999999</v>
      </c>
      <c r="D115" s="25">
        <f>績效表[[#This Row],[TLT]]/B114-1</f>
        <v>-8.2237106366414681E-2</v>
      </c>
      <c r="E115" s="25">
        <f>績效表[[#This Row],[IVV]]/C114-1</f>
        <v>3.6688704189098864E-2</v>
      </c>
    </row>
    <row r="116" spans="1:5" x14ac:dyDescent="0.3">
      <c r="A116" s="27">
        <v>42705</v>
      </c>
      <c r="B116" s="26">
        <v>115.897667</v>
      </c>
      <c r="C116" s="26">
        <v>220.59146100000001</v>
      </c>
      <c r="D116" s="25">
        <f>績效表[[#This Row],[TLT]]/B115-1</f>
        <v>-7.3407133055765073E-3</v>
      </c>
      <c r="E116" s="25">
        <f>績效表[[#This Row],[IVV]]/C115-1</f>
        <v>1.5618683718560789E-2</v>
      </c>
    </row>
    <row r="117" spans="1:5" x14ac:dyDescent="0.3">
      <c r="A117" s="27">
        <v>42736</v>
      </c>
      <c r="B117" s="26">
        <v>117.38449900000001</v>
      </c>
      <c r="C117" s="26">
        <v>225.73959400000001</v>
      </c>
      <c r="D117" s="25">
        <f>績效表[[#This Row],[TLT]]/B116-1</f>
        <v>1.2828834595954408E-2</v>
      </c>
      <c r="E117" s="25">
        <f>績效表[[#This Row],[IVV]]/C116-1</f>
        <v>2.3337861659114667E-2</v>
      </c>
    </row>
    <row r="118" spans="1:5" x14ac:dyDescent="0.3">
      <c r="A118" s="27">
        <v>42767</v>
      </c>
      <c r="B118" s="26">
        <v>118.987404</v>
      </c>
      <c r="C118" s="26">
        <v>234.71276900000001</v>
      </c>
      <c r="D118" s="25">
        <f>績效表[[#This Row],[TLT]]/B117-1</f>
        <v>1.365516753621776E-2</v>
      </c>
      <c r="E118" s="25">
        <f>績效表[[#This Row],[IVV]]/C117-1</f>
        <v>3.9750115790498031E-2</v>
      </c>
    </row>
    <row r="119" spans="1:5" x14ac:dyDescent="0.3">
      <c r="A119" s="27">
        <v>42795</v>
      </c>
      <c r="B119" s="26">
        <v>118.23568</v>
      </c>
      <c r="C119" s="26">
        <v>233.96336400000001</v>
      </c>
      <c r="D119" s="25">
        <f>績效表[[#This Row],[TLT]]/B118-1</f>
        <v>-6.3176771215212035E-3</v>
      </c>
      <c r="E119" s="25">
        <f>績效表[[#This Row],[IVV]]/C118-1</f>
        <v>-3.1928599504528199E-3</v>
      </c>
    </row>
    <row r="120" spans="1:5" x14ac:dyDescent="0.3">
      <c r="A120" s="27">
        <v>42826</v>
      </c>
      <c r="B120" s="26">
        <v>120.07285299999999</v>
      </c>
      <c r="C120" s="26">
        <v>237.25663800000001</v>
      </c>
      <c r="D120" s="25">
        <f>績效表[[#This Row],[TLT]]/B119-1</f>
        <v>1.5538228392647513E-2</v>
      </c>
      <c r="E120" s="25">
        <f>績效表[[#This Row],[IVV]]/C119-1</f>
        <v>1.4076024312934754E-2</v>
      </c>
    </row>
    <row r="121" spans="1:5" x14ac:dyDescent="0.3">
      <c r="A121" s="27">
        <v>42856</v>
      </c>
      <c r="B121" s="26">
        <v>122.343147</v>
      </c>
      <c r="C121" s="26">
        <v>240.56452899999999</v>
      </c>
      <c r="D121" s="25">
        <f>績效表[[#This Row],[TLT]]/B120-1</f>
        <v>1.890763768226611E-2</v>
      </c>
      <c r="E121" s="25">
        <f>績效表[[#This Row],[IVV]]/C120-1</f>
        <v>1.3942248477785357E-2</v>
      </c>
    </row>
    <row r="122" spans="1:5" x14ac:dyDescent="0.3">
      <c r="A122" s="27">
        <v>42887</v>
      </c>
      <c r="B122" s="26">
        <v>123.30825</v>
      </c>
      <c r="C122" s="26">
        <v>241.069626</v>
      </c>
      <c r="D122" s="25">
        <f>績效表[[#This Row],[TLT]]/B121-1</f>
        <v>7.8884925201410105E-3</v>
      </c>
      <c r="E122" s="25">
        <f>績效表[[#This Row],[IVV]]/C121-1</f>
        <v>2.0996320700297222E-3</v>
      </c>
    </row>
    <row r="123" spans="1:5" x14ac:dyDescent="0.3">
      <c r="A123" s="27">
        <v>42917</v>
      </c>
      <c r="B123" s="26">
        <v>122.502876</v>
      </c>
      <c r="C123" s="26">
        <v>247.19349700000001</v>
      </c>
      <c r="D123" s="25">
        <f>績效表[[#This Row],[TLT]]/B122-1</f>
        <v>-6.5313878025192729E-3</v>
      </c>
      <c r="E123" s="25">
        <f>績效表[[#This Row],[IVV]]/C122-1</f>
        <v>2.5402914094204476E-2</v>
      </c>
    </row>
    <row r="124" spans="1:5" x14ac:dyDescent="0.3">
      <c r="A124" s="27">
        <v>42948</v>
      </c>
      <c r="B124" s="26">
        <v>123.953484</v>
      </c>
      <c r="C124" s="26">
        <v>247.870026</v>
      </c>
      <c r="D124" s="25">
        <f>績效表[[#This Row],[TLT]]/B123-1</f>
        <v>1.1841419951642562E-2</v>
      </c>
      <c r="E124" s="25">
        <f>績效表[[#This Row],[IVV]]/C123-1</f>
        <v>2.7368397963962732E-3</v>
      </c>
    </row>
    <row r="125" spans="1:5" x14ac:dyDescent="0.3">
      <c r="A125" s="27">
        <v>42979</v>
      </c>
      <c r="B125" s="26">
        <v>123.73690000000001</v>
      </c>
      <c r="C125" s="26">
        <v>251.64070100000001</v>
      </c>
      <c r="D125" s="25">
        <f>績效表[[#This Row],[TLT]]/B124-1</f>
        <v>-1.7473006244825839E-3</v>
      </c>
      <c r="E125" s="25">
        <f>績效表[[#This Row],[IVV]]/C124-1</f>
        <v>1.5212307275910941E-2</v>
      </c>
    </row>
    <row r="126" spans="1:5" x14ac:dyDescent="0.3">
      <c r="A126" s="27">
        <v>43009</v>
      </c>
      <c r="B126" s="26">
        <v>123.693527</v>
      </c>
      <c r="C126" s="26">
        <v>258.80999800000001</v>
      </c>
      <c r="D126" s="25">
        <f>績效表[[#This Row],[TLT]]/B125-1</f>
        <v>-3.5052599507501281E-4</v>
      </c>
      <c r="E126" s="25">
        <f>績效表[[#This Row],[IVV]]/C125-1</f>
        <v>2.8490212320621433E-2</v>
      </c>
    </row>
    <row r="127" spans="1:5" x14ac:dyDescent="0.3">
      <c r="A127" s="27">
        <v>43040</v>
      </c>
      <c r="B127" s="26">
        <v>124.601151</v>
      </c>
      <c r="C127" s="26">
        <v>266.89001500000001</v>
      </c>
      <c r="D127" s="25">
        <f>績效表[[#This Row],[TLT]]/B126-1</f>
        <v>7.3376838870475858E-3</v>
      </c>
      <c r="E127" s="25">
        <f>績效表[[#This Row],[IVV]]/C126-1</f>
        <v>3.1219879689500907E-2</v>
      </c>
    </row>
    <row r="128" spans="1:5" x14ac:dyDescent="0.3">
      <c r="A128" s="27">
        <v>43070</v>
      </c>
      <c r="B128" s="26">
        <v>126.601456</v>
      </c>
      <c r="C128" s="26">
        <v>268.85000600000001</v>
      </c>
      <c r="D128" s="25">
        <f>績效表[[#This Row],[TLT]]/B127-1</f>
        <v>1.6053663902350301E-2</v>
      </c>
      <c r="E128" s="25">
        <f>績效表[[#This Row],[IVV]]/C127-1</f>
        <v>7.3438153915199589E-3</v>
      </c>
    </row>
    <row r="129" spans="1:5" x14ac:dyDescent="0.3">
      <c r="A129" s="27">
        <v>43101</v>
      </c>
      <c r="B129" s="26">
        <v>124.30999799999999</v>
      </c>
      <c r="C129" s="26">
        <v>276.13000499999998</v>
      </c>
      <c r="D129" s="25">
        <f>績效表[[#This Row],[TLT]]/B128-1</f>
        <v>-1.8099776040490401E-2</v>
      </c>
      <c r="E129" s="25">
        <f>績效表[[#This Row],[IVV]]/C128-1</f>
        <v>2.7078292123973391E-2</v>
      </c>
    </row>
    <row r="130" spans="1:5" x14ac:dyDescent="0.3">
      <c r="A130" s="27">
        <v>43111</v>
      </c>
      <c r="B130" s="26">
        <v>124.30999799999999</v>
      </c>
      <c r="C130" s="26">
        <v>278.08999599999999</v>
      </c>
      <c r="D130" s="25">
        <f>績效表[[#This Row],[TLT]]/B129-1</f>
        <v>0</v>
      </c>
      <c r="E130" s="25">
        <f>績效表[[#This Row],[IVV]]/C129-1</f>
        <v>7.0980732427103899E-3</v>
      </c>
    </row>
  </sheetData>
  <mergeCells count="1">
    <mergeCell ref="B6:C6"/>
  </mergeCells>
  <phoneticPr fontId="2" type="noConversion"/>
  <pageMargins left="0.7" right="0.7" top="0.75" bottom="0.75" header="0.3" footer="0.3"/>
  <pageSetup paperSize="9" orientation="portrait" horizontalDpi="4294967293" verticalDpi="4294967293" r:id="rId1"/>
  <ignoredErrors>
    <ignoredError sqref="C3:C4" 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14</vt:i4>
      </vt:variant>
    </vt:vector>
  </HeadingPairs>
  <TitlesOfParts>
    <vt:vector size="16" baseType="lpstr">
      <vt:lpstr>最佳股債組合</vt:lpstr>
      <vt:lpstr>工作表1</vt:lpstr>
      <vt:lpstr>IVV月平均</vt:lpstr>
      <vt:lpstr>IVV月標準差</vt:lpstr>
      <vt:lpstr>IVV權重</vt:lpstr>
      <vt:lpstr>TLT月平均</vt:lpstr>
      <vt:lpstr>TLT月標準差</vt:lpstr>
      <vt:lpstr>TLT權重</vt:lpstr>
      <vt:lpstr>定存月利率</vt:lpstr>
      <vt:lpstr>定存權重</vt:lpstr>
      <vt:lpstr>相關係數</vt:lpstr>
      <vt:lpstr>風險組合平均</vt:lpstr>
      <vt:lpstr>風險組合標準差</vt:lpstr>
      <vt:lpstr>夏普值</vt:lpstr>
      <vt:lpstr>總平均</vt:lpstr>
      <vt:lpstr>總標準差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2018-02-12T23:58:31Z</dcterms:created>
  <dcterms:modified xsi:type="dcterms:W3CDTF">2018-03-01T11:59:22Z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10a4fa9e-e019-434d-9c7b-dbe261dffcff</vt:lpwstr>
  </property>
</Properties>
</file>